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18"/>
  <workbookPr defaultThemeVersion="166925"/>
  <mc:AlternateContent xmlns:mc="http://schemas.openxmlformats.org/markup-compatibility/2006">
    <mc:Choice Requires="x15">
      <x15ac:absPath xmlns:x15ac="http://schemas.microsoft.com/office/spreadsheetml/2010/11/ac" url="C:\Users\Daral\OneDrive\Desktop\"/>
    </mc:Choice>
  </mc:AlternateContent>
  <xr:revisionPtr revIDLastSave="2" documentId="13_ncr:1_{A1E76560-BCCC-474F-8F3F-B8F8866D4447}" xr6:coauthVersionLast="47" xr6:coauthVersionMax="47" xr10:uidLastSave="{16E27771-0C70-4254-B5B0-9838658C3B2D}"/>
  <bookViews>
    <workbookView xWindow="-108" yWindow="-108" windowWidth="23256" windowHeight="12576" tabRatio="793" firstSheet="2" activeTab="4" xr2:uid="{00000000-000D-0000-FFFF-FFFF00000000}"/>
  </bookViews>
  <sheets>
    <sheet name="Front" sheetId="3" r:id="rId1"/>
    <sheet name="Status" sheetId="4" r:id="rId2"/>
    <sheet name="Information Used" sheetId="6" r:id="rId3"/>
    <sheet name="Summary Original" sheetId="7" r:id="rId4"/>
    <sheet name="NRM1 CP template " sheetId="9" r:id="rId5"/>
    <sheet name="Forecast" sheetId="11" r:id="rId6"/>
    <sheet name="Material Costing Comparisons" sheetId="12"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s>
  <definedNames>
    <definedName name="____INF1" localSheetId="4">#REF!</definedName>
    <definedName name="____INF1">#REF!</definedName>
    <definedName name="____INF2" localSheetId="4">#REF!</definedName>
    <definedName name="____INF2">#REF!</definedName>
    <definedName name="___INF1" localSheetId="4">#REF!</definedName>
    <definedName name="___INF1">#REF!</definedName>
    <definedName name="___INF2" localSheetId="4">#REF!</definedName>
    <definedName name="___INF2">#REF!</definedName>
    <definedName name="__INF1" localSheetId="4">#REF!</definedName>
    <definedName name="__INF1">#REF!</definedName>
    <definedName name="__INF2" localSheetId="4">#REF!</definedName>
    <definedName name="__INF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r1" localSheetId="4">#REF!</definedName>
    <definedName name="_bar1">#REF!</definedName>
    <definedName name="_boh1" localSheetId="4">#REF!</definedName>
    <definedName name="_boh1">#REF!</definedName>
    <definedName name="_ccr1" localSheetId="4" hidden="1">{#N/A,#N/A,TRUE,"Cover";#N/A,#N/A,TRUE,"Conts";#N/A,#N/A,TRUE,"VOS";#N/A,#N/A,TRUE,"Warrington";#N/A,#N/A,TRUE,"Widnes"}</definedName>
    <definedName name="_ccr1" hidden="1">{#N/A,#N/A,TRUE,"Cover";#N/A,#N/A,TRUE,"Conts";#N/A,#N/A,TRUE,"VOS";#N/A,#N/A,TRUE,"Warrington";#N/A,#N/A,TRUE,"Widnes"}</definedName>
    <definedName name="_foh1" localSheetId="4">#REF!</definedName>
    <definedName name="_foh1">#REF!</definedName>
    <definedName name="_INF1" localSheetId="4">#REF!</definedName>
    <definedName name="_INF1">#REF!</definedName>
    <definedName name="_INF2" localSheetId="4">#REF!</definedName>
    <definedName name="_INF2">#REF!</definedName>
    <definedName name="_Order1" hidden="1">0</definedName>
    <definedName name="a" localSheetId="4" hidden="1">{#N/A,#N/A,TRUE,"COVER";#N/A,#N/A,TRUE,"DETAILS";#N/A,#N/A,TRUE,"SUMMARY";#N/A,#N/A,TRUE,"EXP MON";#N/A,#N/A,TRUE,"APPENDIX A";#N/A,#N/A,TRUE,"APPENDIX B";#N/A,#N/A,TRUE,"APPENDIX C";#N/A,#N/A,TRUE,"APPENDIX D";#N/A,#N/A,TRUE,"APPENDIX E";#N/A,#N/A,TRUE,"APPENDIX F";#N/A,#N/A,TRUE,"APPENDIX G"}</definedName>
    <definedName name="a" hidden="1">{#N/A,#N/A,TRUE,"COVER";#N/A,#N/A,TRUE,"DETAILS";#N/A,#N/A,TRUE,"SUMMARY";#N/A,#N/A,TRUE,"EXP MON";#N/A,#N/A,TRUE,"APPENDIX A";#N/A,#N/A,TRUE,"APPENDIX B";#N/A,#N/A,TRUE,"APPENDIX C";#N/A,#N/A,TRUE,"APPENDIX D";#N/A,#N/A,TRUE,"APPENDIX E";#N/A,#N/A,TRUE,"APPENDIX F";#N/A,#N/A,TRUE,"APPENDIX G"}</definedName>
    <definedName name="Accept">[0]!Accept</definedName>
    <definedName name="Access">'[1]KING INPUT SHEET'!$D$28</definedName>
    <definedName name="ADDRESS1" localSheetId="4">#REF!</definedName>
    <definedName name="ADDRESS1">#REF!</definedName>
    <definedName name="ADDRESS2" localSheetId="4">#REF!</definedName>
    <definedName name="ADDRESS2">#REF!</definedName>
    <definedName name="admin1" localSheetId="4">#REF!</definedName>
    <definedName name="admin1">#REF!</definedName>
    <definedName name="Area">[2]Indices!$D$2:$F$81</definedName>
    <definedName name="AS2DocOpenMode" hidden="1">"AS2DocumentEdit"</definedName>
    <definedName name="b" localSheetId="4" hidden="1">{#N/A,#N/A,TRUE,"Cover";#N/A,#N/A,TRUE,"Conts";#N/A,#N/A,TRUE,"VOS";#N/A,#N/A,TRUE,"Warrington";#N/A,#N/A,TRUE,"Widnes"}</definedName>
    <definedName name="b" hidden="1">{#N/A,#N/A,TRUE,"Cover";#N/A,#N/A,TRUE,"Conts";#N/A,#N/A,TRUE,"VOS";#N/A,#N/A,TRUE,"Warrington";#N/A,#N/A,TRUE,"Widnes"}</definedName>
    <definedName name="BASE_DATE" localSheetId="4">'[3]Master Data Sheet'!$D$41</definedName>
    <definedName name="Base_Date">'[4]PROJECT INPUTS'!$E$9</definedName>
    <definedName name="bathrooms1" localSheetId="4">#REF!</definedName>
    <definedName name="bathrooms1">#REF!</definedName>
    <definedName name="BCIS_Location">[5]Library!$H$15:$I$94</definedName>
    <definedName name="BCIS_TPI">[5]Library!$K$15:$L$44</definedName>
    <definedName name="bedroomcorridors1" localSheetId="4">#REF!</definedName>
    <definedName name="bedroomcorridors1">#REF!</definedName>
    <definedName name="bedrooms1" localSheetId="4">#REF!</definedName>
    <definedName name="bedrooms1">#REF!</definedName>
    <definedName name="Beds">[6]DATA!$F$13</definedName>
    <definedName name="BlockABath">'[7]Block A - Data'!$H$54</definedName>
    <definedName name="BlockAens">'[7]Block A - Data'!$H$55</definedName>
    <definedName name="BlockAGIA">'[7]Block A - Data'!$E$31</definedName>
    <definedName name="BlockANIA">'[7]Block A - Data'!$G$31</definedName>
    <definedName name="BlockAUnits">'[7]Block A - Data'!$H$49</definedName>
    <definedName name="BlockBbath">'[7]Block B - Data'!$H$56</definedName>
    <definedName name="BlockBens">'[7]Block B - Data'!$H$57</definedName>
    <definedName name="BlockBGIA">'[7]Block B - Data'!$E$31</definedName>
    <definedName name="BlockBNIA">'[7]Block B - Data'!$G$31</definedName>
    <definedName name="BlockBUnits">'[7]Block B - Data'!$H$51</definedName>
    <definedName name="BlockCBath">'[7]Block C  - Data'!$H$55</definedName>
    <definedName name="BlockCEns">'[7]Block C  - Data'!$H$56</definedName>
    <definedName name="BlockCGIA">'[7]Block C  - Data'!$E$31</definedName>
    <definedName name="BlockCNIA">'[7]Block C  - Data'!$G$31</definedName>
    <definedName name="BlockCUnits">'[7]Block C  - Data'!$H$50</definedName>
    <definedName name="BlockDBath">'[7]Block D  - Data'!$H$60</definedName>
    <definedName name="BlockDEns">'[7]Block D  - Data'!$H$61</definedName>
    <definedName name="BlockDGIA">'[7]Block D  - Data'!$E$35</definedName>
    <definedName name="BlockDNIA">'[7]Block D  - Data'!$G$35</definedName>
    <definedName name="BlockDUnits">'[7]Block D  - Data'!$H$55</definedName>
    <definedName name="BlockEBath">'[7]Block E - Data'!$H$56</definedName>
    <definedName name="BlockEEns">'[7]Block E - Data'!$H$57</definedName>
    <definedName name="BlockEGIA">'[7]Block E - Data'!$E$32</definedName>
    <definedName name="BlockENIA">'[7]Block E - Data'!$G$32</definedName>
    <definedName name="BlockEUnits">'[7]Block E - Data'!$H$51</definedName>
    <definedName name="Budget">'[8]Validations (DO NOT PRINT)'!$I$26:$I$39</definedName>
    <definedName name="BuildTotal">[9]Summary!$E$50</definedName>
    <definedName name="BWIC" localSheetId="4">#REF!</definedName>
    <definedName name="BWIC">#REF!</definedName>
    <definedName name="C_COMPLETION" localSheetId="4">#REF!</definedName>
    <definedName name="C_COMPLETION">#REF!</definedName>
    <definedName name="C_PERIOD" localSheetId="4">#REF!</definedName>
    <definedName name="C_PERIOD">#REF!</definedName>
    <definedName name="C_START">'[10]Master Data Sheet'!$D$43</definedName>
    <definedName name="CarParkGIA">'[7]Car Park - Data'!$E$23</definedName>
    <definedName name="Carpet">[11]Descriptions!$AF$371</definedName>
    <definedName name="Casegoods">[12]DATA!$F$12</definedName>
    <definedName name="cashfl" localSheetId="4" hidden="1">{#N/A,#N/A,TRUE,"Cover";#N/A,#N/A,TRUE,"Conts";#N/A,#N/A,TRUE,"VOS";#N/A,#N/A,TRUE,"Warrington";#N/A,#N/A,TRUE,"Widnes"}</definedName>
    <definedName name="cashfl" hidden="1">{#N/A,#N/A,TRUE,"Cover";#N/A,#N/A,TRUE,"Conts";#N/A,#N/A,TRUE,"VOS";#N/A,#N/A,TRUE,"Warrington";#N/A,#N/A,TRUE,"Widnes"}</definedName>
    <definedName name="CC" localSheetId="4">#REF!</definedName>
    <definedName name="CC">#REF!</definedName>
    <definedName name="CCGIA">'[7]CC - Data'!$E$29</definedName>
    <definedName name="CCOMPLETION" localSheetId="4">#REF!</definedName>
    <definedName name="CCOMPLETION">#REF!</definedName>
    <definedName name="CCR" localSheetId="4" hidden="1">{#N/A,#N/A,TRUE,"Cover";#N/A,#N/A,TRUE,"Conts";#N/A,#N/A,TRUE,"VOS";#N/A,#N/A,TRUE,"Warrington";#N/A,#N/A,TRUE,"Widnes"}</definedName>
    <definedName name="CCR" hidden="1">{#N/A,#N/A,TRUE,"Cover";#N/A,#N/A,TRUE,"Conts";#N/A,#N/A,TRUE,"VOS";#N/A,#N/A,TRUE,"Warrington";#N/A,#N/A,TRUE,"Widnes"}</definedName>
    <definedName name="Ceiling_tiles">[11]Descriptions!$AF$340</definedName>
    <definedName name="circulation">[5]Contents!$B$49:$H$59</definedName>
    <definedName name="Circulation_names">[5]Contents!$F$49:$F$60</definedName>
    <definedName name="CiSfb">'[9]Project Data'!$D$16</definedName>
    <definedName name="CLIENT">'[3]Master Data Sheet'!$D$18</definedName>
    <definedName name="code">[13]Summary!$L$43:$L$46</definedName>
    <definedName name="columbian" localSheetId="4">#REF!</definedName>
    <definedName name="columbian">#REF!</definedName>
    <definedName name="COMPANY" localSheetId="4">#REF!</definedName>
    <definedName name="COMPANY">#REF!</definedName>
    <definedName name="COMPLETION" localSheetId="4">#REF!</definedName>
    <definedName name="COMPLETION">#REF!</definedName>
    <definedName name="CONTACT" localSheetId="4">#REF!</definedName>
    <definedName name="CONTACT">#REF!</definedName>
    <definedName name="CONTINGENCY" localSheetId="4">#REF!</definedName>
    <definedName name="CONTINGENCY">#REF!</definedName>
    <definedName name="Contract_sum" localSheetId="4">#REF!</definedName>
    <definedName name="Contract_sum">#REF!</definedName>
    <definedName name="Corridor">[11]Descriptions!$AF$388</definedName>
    <definedName name="Corridor_girth">[11]Descriptions!$AF$388</definedName>
    <definedName name="CostPlan">'[9]Cost Plan'!$A$1:$L$611</definedName>
    <definedName name="Cover" localSheetId="4" hidden="1">{#N/A,#N/A,FALSE,"Aging Summary";#N/A,#N/A,FALSE,"Ratio Analysis";#N/A,#N/A,FALSE,"Test 120 Day Accts";#N/A,#N/A,FALSE,"Tickmarks"}</definedName>
    <definedName name="Cover" hidden="1">{#N/A,#N/A,FALSE,"Aging Summary";#N/A,#N/A,FALSE,"Ratio Analysis";#N/A,#N/A,FALSE,"Test 120 Day Accts";#N/A,#N/A,FALSE,"Tickmarks"}</definedName>
    <definedName name="Cover_2" localSheetId="4" hidden="1">{#N/A,#N/A,FALSE,"Aging Summary";#N/A,#N/A,FALSE,"Ratio Analysis";#N/A,#N/A,FALSE,"Test 120 Day Accts";#N/A,#N/A,FALSE,"Tickmarks"}</definedName>
    <definedName name="Cover_2" hidden="1">{#N/A,#N/A,FALSE,"Aging Summary";#N/A,#N/A,FALSE,"Ratio Analysis";#N/A,#N/A,FALSE,"Test 120 Day Accts";#N/A,#N/A,FALSE,"Tickmarks"}</definedName>
    <definedName name="Covers">'[14]Input Sheet'!$F$17</definedName>
    <definedName name="CPBaseDate">'[9]Project Data'!$D$9</definedName>
    <definedName name="CPERIOD" localSheetId="4">#REF!</definedName>
    <definedName name="CPERIOD">#REF!</definedName>
    <definedName name="CPIndex">'[9]Project Data'!$E$9</definedName>
    <definedName name="CPType">'[15]Project Data'!$D$5</definedName>
    <definedName name="CSTART" localSheetId="4">#REF!</definedName>
    <definedName name="CSTART">#REF!</definedName>
    <definedName name="currency">'[16]Master Data Sheet'!$F$38</definedName>
    <definedName name="CUSTOM">'[17]Custom Summary'!$B$6:$B$14</definedName>
    <definedName name="date">[5]Flysheet!$J$29</definedName>
    <definedName name="DbBaseDate">'[9]Project Data'!$D$7</definedName>
    <definedName name="DbIndex">'[9]Project Data'!$E$7</definedName>
    <definedName name="DbLocation">'[9]Project Data'!$E$8</definedName>
    <definedName name="Degree_day_names">[5]Library!$AH$15:$AH$32</definedName>
    <definedName name="Degree_Days">[5]Library!$O$15:$AF$28</definedName>
    <definedName name="DESCRIPTION">'[3]Master Data Sheet'!$D$19</definedName>
    <definedName name="DesDev">'[9]Project Data'!$E$12</definedName>
    <definedName name="dis_bath" localSheetId="4">#REF!</definedName>
    <definedName name="dis_bath">#REF!</definedName>
    <definedName name="Dis_rm">'[14]Input Sheet'!$B$19</definedName>
    <definedName name="ds">'[18]4'!$B$3</definedName>
    <definedName name="Duration" localSheetId="4">#REF!</definedName>
    <definedName name="Duration">#REF!</definedName>
    <definedName name="Elec">[6]DATA!$F$8</definedName>
    <definedName name="estimateb" localSheetId="4" hidden="1">{#N/A,#N/A,TRUE,"Cover";#N/A,#N/A,TRUE,"Conts";#N/A,#N/A,TRUE,"VOS";#N/A,#N/A,TRUE,"Warrington";#N/A,#N/A,TRUE,"Widnes"}</definedName>
    <definedName name="estimateb" hidden="1">{#N/A,#N/A,TRUE,"Cover";#N/A,#N/A,TRUE,"Conts";#N/A,#N/A,TRUE,"VOS";#N/A,#N/A,TRUE,"Warrington";#N/A,#N/A,TRUE,"Widnes"}</definedName>
    <definedName name="EUQ1A">'[19]Cost Plan'!$M$30</definedName>
    <definedName name="EUQ2A">'[19]Cost Plan'!$M$49</definedName>
    <definedName name="EUQ2B">'[19]Cost Plan'!$M$68</definedName>
    <definedName name="EUQ2C">'[19]Cost Plan'!$M$96</definedName>
    <definedName name="EUQ2D">'[19]Cost Plan'!$M$117</definedName>
    <definedName name="EUQ2E">'[19]Cost Plan'!$M$148</definedName>
    <definedName name="EUQ2F">'[19]Cost Plan'!$M$163</definedName>
    <definedName name="EUQ2G">'[19]Cost Plan'!$M$190</definedName>
    <definedName name="EUQ2H">'[19]Cost Plan'!$M$207</definedName>
    <definedName name="EUQ3A">'[19]Cost Plan'!$M$226</definedName>
    <definedName name="EUQ3B">'[19]Cost Plan'!$M$253</definedName>
    <definedName name="EUQ3C">'[19]Cost Plan'!$M$276</definedName>
    <definedName name="EUQ4A">'[19]Cost Plan'!$M$303</definedName>
    <definedName name="eXCLUSIONS" localSheetId="4" hidden="1">{#N/A,#N/A,TRUE,"Cover";#N/A,#N/A,TRUE,"Conts";#N/A,#N/A,TRUE,"VOS";#N/A,#N/A,TRUE,"Warrington";#N/A,#N/A,TRUE,"Widnes"}</definedName>
    <definedName name="eXCLUSIONS" hidden="1">{#N/A,#N/A,TRUE,"Cover";#N/A,#N/A,TRUE,"Conts";#N/A,#N/A,TRUE,"VOS";#N/A,#N/A,TRUE,"Warrington";#N/A,#N/A,TRUE,"Widnes"}</definedName>
    <definedName name="ext_beds">'[14]Input Sheet'!$B$15</definedName>
    <definedName name="extent">[5]Basis!$A$114:$D$118</definedName>
    <definedName name="f" localSheetId="4" hidden="1">{#N/A,#N/A,TRUE,"Cover";#N/A,#N/A,TRUE,"Conts";#N/A,#N/A,TRUE,"VOS";#N/A,#N/A,TRUE,"Warrington";#N/A,#N/A,TRUE,"Widnes"}</definedName>
    <definedName name="f" hidden="1">{#N/A,#N/A,TRUE,"Cover";#N/A,#N/A,TRUE,"Conts";#N/A,#N/A,TRUE,"VOS";#N/A,#N/A,TRUE,"Warrington";#N/A,#N/A,TRUE,"Widnes"}</definedName>
    <definedName name="F2_6ft">'[14]Input Sheet'!$D$20</definedName>
    <definedName name="F2_rm">'[14]Input Sheet'!$B$20</definedName>
    <definedName name="F2_s_6__standard">'[14]Input Sheet'!$D$19</definedName>
    <definedName name="F3_6ft">'[14]Input Sheet'!$D$21</definedName>
    <definedName name="F3_rm">'[14]Input Sheet'!$B$21</definedName>
    <definedName name="F4_6ft">'[14]Input Sheet'!$D$22</definedName>
    <definedName name="F4_rm">'[14]Input Sheet'!$B$22</definedName>
    <definedName name="Factor" localSheetId="4">#REF!</definedName>
    <definedName name="Factor">#REF!</definedName>
    <definedName name="factor1">0</definedName>
    <definedName name="FEES" localSheetId="4">#REF!</definedName>
    <definedName name="FEES">#REF!</definedName>
    <definedName name="feet">[20]Assumptions!$B$54</definedName>
    <definedName name="fg" localSheetId="4" hidden="1">{#N/A,#N/A,TRUE,"Cover";#N/A,#N/A,TRUE,"Conts";#N/A,#N/A,TRUE,"VOS";#N/A,#N/A,TRUE,"Warrington";#N/A,#N/A,TRUE,"Widnes"}</definedName>
    <definedName name="fg" hidden="1">{#N/A,#N/A,TRUE,"Cover";#N/A,#N/A,TRUE,"Conts";#N/A,#N/A,TRUE,"VOS";#N/A,#N/A,TRUE,"Warrington";#N/A,#N/A,TRUE,"Widnes"}</definedName>
    <definedName name="fire_sign" localSheetId="4">'[21]OP''s Input Sheet'!#REF!</definedName>
    <definedName name="fire_sign">'[21]OP''s Input Sheet'!#REF!</definedName>
    <definedName name="Floor_area">[11]Descriptions!$AF$329</definedName>
    <definedName name="floor_tiles">[11]Descriptions!$AF$351</definedName>
    <definedName name="Flooring">[6]DATA!$F$10</definedName>
    <definedName name="fred">'[22]Project Data'!$D$15</definedName>
    <definedName name="Fullmonth">[5]Basis!$A$99:$B$110</definedName>
    <definedName name="function1" localSheetId="4">#REF!</definedName>
    <definedName name="function1">#REF!</definedName>
    <definedName name="fUNCTIONAL_UNITS">[5]Area!$T$49</definedName>
    <definedName name="GIFA" localSheetId="4">#REF!</definedName>
    <definedName name="GIFA">#REF!</definedName>
    <definedName name="GIFA_FT2" localSheetId="4">#REF!</definedName>
    <definedName name="GIFA_FT2">#REF!</definedName>
    <definedName name="GIFA_M2" localSheetId="4">#REF!</definedName>
    <definedName name="GIFA_M2">#REF!</definedName>
    <definedName name="GIFA2">[17]Areas!$F$18</definedName>
    <definedName name="Global_Quantity">[5]Input!$E$58</definedName>
    <definedName name="Goto1A">[5]Library!$C$14</definedName>
    <definedName name="Goto2A">[5]Library!$C$100</definedName>
    <definedName name="Goto2B">[5]Library!$C$125</definedName>
    <definedName name="Goto2C">[5]Library!$C$158</definedName>
    <definedName name="Goto2D">[5]Library!$C$254</definedName>
    <definedName name="Goto2E">[5]Library!$C$304</definedName>
    <definedName name="Goto2F">[5]Library!$C$393</definedName>
    <definedName name="Goto2G">[5]Library!$C$475</definedName>
    <definedName name="Goto2H">[5]Library!$C$530</definedName>
    <definedName name="Goto3A">[5]Library!$C$558</definedName>
    <definedName name="Goto3B">[5]Library!$C$607</definedName>
    <definedName name="Goto3C">[5]Library!$C$717</definedName>
    <definedName name="Goto4A">[5]Library!$C$759</definedName>
    <definedName name="Goto5A">[5]Library!$C$821</definedName>
    <definedName name="Goto5B">[5]Library!$C$850</definedName>
    <definedName name="Goto5C">[5]Library!$C$856</definedName>
    <definedName name="Goto5D">[5]Library!$C$870</definedName>
    <definedName name="Goto5E">[5]Library!$C$877</definedName>
    <definedName name="Goto5F">[5]Library!$C$885</definedName>
    <definedName name="Goto5G">[5]Library!$C$900</definedName>
    <definedName name="Goto5H">[5]Library!$C$924</definedName>
    <definedName name="Goto5I">[5]Library!$C$972</definedName>
    <definedName name="Goto5J">[5]Library!$C$977</definedName>
    <definedName name="Goto5K">[5]Library!$C$1014</definedName>
    <definedName name="Goto5L">[5]Library!$C$1043</definedName>
    <definedName name="Goto5M">[5]Library!$C$1069</definedName>
    <definedName name="Goto6A">[5]Library!$C$1088</definedName>
    <definedName name="Goto6B">[5]Library!$C$1163</definedName>
    <definedName name="Goto6C">[5]Library!$C$1183</definedName>
    <definedName name="Goto6D">[5]Library!$C$1206</definedName>
    <definedName name="Goto7A">[5]Library!$C$1219</definedName>
    <definedName name="Grand_total" localSheetId="4">'[14]Input Sheet'!#REF!</definedName>
    <definedName name="Grand_total">'[14]Input Sheet'!#REF!</definedName>
    <definedName name="hgkghkgk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hkgk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hgkgkghk"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gkgkghk"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otel_Carpet">'[14]Input Sheet'!$F$19</definedName>
    <definedName name="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SHSH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HTML_CodePage" hidden="1">1252</definedName>
    <definedName name="HTML_Control" localSheetId="4" hidden="1">{"'Final Summary'!$A$1:$G$86"}</definedName>
    <definedName name="HTML_Control" hidden="1">{"'Final Summary'!$A$1:$G$86"}</definedName>
    <definedName name="HTML_Description" hidden="1">""</definedName>
    <definedName name="HTML_Email" hidden="1">""</definedName>
    <definedName name="HTML_Header" hidden="1">"Final Summary"</definedName>
    <definedName name="HTML_LastUpdate" hidden="1">"31/05/01"</definedName>
    <definedName name="HTML_LineAfter" hidden="1">FALSE</definedName>
    <definedName name="HTML_LineBefore" hidden="1">FALSE</definedName>
    <definedName name="HTML_Name" hidden="1">"Jarvis IT"</definedName>
    <definedName name="HTML_OBDlg2" hidden="1">TRUE</definedName>
    <definedName name="HTML_OBDlg3" hidden="1">TRUE</definedName>
    <definedName name="HTML_OBDlg4" hidden="1">TRUE</definedName>
    <definedName name="HTML_OS" hidden="1">0</definedName>
    <definedName name="HTML_PathFile" hidden="1">"C:\My Documents\MyHTML.htm"</definedName>
    <definedName name="HTML_PathTemplate" hidden="1">"C:\My Documents\HTMLTemp.htm"</definedName>
    <definedName name="HTML_Title" hidden="1">"Draft Cost Auth"</definedName>
    <definedName name="Indices">[23]Indices!$B$6:$D$100</definedName>
    <definedName name="IndicesMonth">[9]Indices!$B$6:$B$111</definedName>
    <definedName name="IndicesValue">[9]Indices!$C$6:$C$111</definedName>
    <definedName name="InflationRetail" localSheetId="4">#REF!</definedName>
    <definedName name="InflationRetail">#REF!</definedName>
    <definedName name="InflationSC" localSheetId="4">#REF!</definedName>
    <definedName name="InflationSC">#REF!</definedName>
    <definedName name="ISSUE_DATE">'[10]Master Data Sheet'!$D$25</definedName>
    <definedName name="items">[5]Library!$B$13:$E$1252</definedName>
    <definedName name="iw">'[9]Cost Plan'!$M$190</definedName>
    <definedName name="JIM">[24]Construction!$S$36:$S$74</definedName>
    <definedName name="JOB_NR" localSheetId="4">#REF!</definedName>
    <definedName name="JOB_NR">#REF!</definedName>
    <definedName name="kghkhgkhg"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ghkhgkhg"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kitchen1" localSheetId="4">#REF!</definedName>
    <definedName name="kitchen1">#REF!</definedName>
    <definedName name="Lettable_m2">[5]Area!$T$21</definedName>
    <definedName name="Lettable_SF">[5]Area!$X$21</definedName>
    <definedName name="Linen_Room">'[14]Input Sheet'!$F$21</definedName>
    <definedName name="LOCATION" localSheetId="4">'[3]Master Data Sheet'!$D$20</definedName>
    <definedName name="Location">'[9]Project Data'!$D$10</definedName>
    <definedName name="LocationFactors">[9]Indices!$I$6:$J$85</definedName>
    <definedName name="LocationIndex">'[9]Project Data'!$E$10</definedName>
    <definedName name="lock_system">'[14]Input Sheet'!$B$58</definedName>
    <definedName name="m">[11]Descriptions!$G$266</definedName>
    <definedName name="Matwell">[11]Descriptions!$AF$365</definedName>
    <definedName name="MC_OHP">'[4]PROJECT INPUTS'!$B$10</definedName>
    <definedName name="Mech">[6]DATA!$F$9</definedName>
    <definedName name="Meet_rms">'[14]Input Sheet'!$F$22</definedName>
    <definedName name="Milestone">'[25]Project Data'!$D$14</definedName>
    <definedName name="MmExcelLinker_48EFC9ED_A550_40C1_A2F7_886170168388" localSheetId="4">idea gen&amp;[26]eval!$C$15:$C$234</definedName>
    <definedName name="MmExcelLinker_48EFC9ED_A550_40C1_A2F7_886170168388">idea gen&amp;[26]eval!$C$15:$C$234</definedName>
    <definedName name="msdtotal">'[9]WP Summary'!$G$185</definedName>
    <definedName name="New_rm">'[14]Input Sheet'!$B$24</definedName>
    <definedName name="ngfng" localSheetId="4" hidden="1">{#N/A,#N/A,FALSE,"Aging Summary";#N/A,#N/A,FALSE,"Ratio Analysis";#N/A,#N/A,FALSE,"Test 120 Day Accts";#N/A,#N/A,FALSE,"Tickmarks"}</definedName>
    <definedName name="ngfng" hidden="1">{#N/A,#N/A,FALSE,"Aging Summary";#N/A,#N/A,FALSE,"Ratio Analysis";#N/A,#N/A,FALSE,"Test 120 Day Accts";#N/A,#N/A,FALSE,"Tickmarks"}</definedName>
    <definedName name="ngfng_2" localSheetId="4" hidden="1">{#N/A,#N/A,FALSE,"Aging Summary";#N/A,#N/A,FALSE,"Ratio Analysis";#N/A,#N/A,FALSE,"Test 120 Day Accts";#N/A,#N/A,FALSE,"Tickmarks"}</definedName>
    <definedName name="ngfng_2" hidden="1">{#N/A,#N/A,FALSE,"Aging Summary";#N/A,#N/A,FALSE,"Ratio Analysis";#N/A,#N/A,FALSE,"Test 120 Day Accts";#N/A,#N/A,FALSE,"Tickmarks"}</definedName>
    <definedName name="NIA_FT2" localSheetId="4">#REF!</definedName>
    <definedName name="NIA_FT2">#REF!</definedName>
    <definedName name="No_of_Rooms">[27]Inputs!$E$68</definedName>
    <definedName name="Office">[28]Tables!$B$7:$L$16</definedName>
    <definedName name="Office_fields">[28]Tables!$B$5:$L$6</definedName>
    <definedName name="OHP" localSheetId="4">#REF!</definedName>
    <definedName name="OHP">#REF!</definedName>
    <definedName name="Outdate">[23]Date!$E$7</definedName>
    <definedName name="Outlocation">[23]Date!$E$9</definedName>
    <definedName name="Page_total" localSheetId="4">MAX(Page)</definedName>
    <definedName name="Page_total">MAX(Page)</definedName>
    <definedName name="Pal_Workbook_GUID" hidden="1">"LK1PTII9F5DJ467I7FBPU14Z"</definedName>
    <definedName name="PERIOD" localSheetId="4">#REF!</definedName>
    <definedName name="PERIOD">#REF!</definedName>
    <definedName name="PRELIMS" localSheetId="4">#REF!</definedName>
    <definedName name="Prelims">'[4]PROJECT INPUTS'!$B$9</definedName>
    <definedName name="_xlnm.Print_Area" localSheetId="0">Front!$A$1:$K$57</definedName>
    <definedName name="_xlnm.Print_Area" localSheetId="2">'Information Used'!$A$1:$L$31</definedName>
    <definedName name="_xlnm.Print_Area" localSheetId="4">'NRM1 CP template '!$A$1:$M$344</definedName>
    <definedName name="_xlnm.Print_Area" localSheetId="1">Status!$A$1:$J$32</definedName>
    <definedName name="_xlnm.Print_Area" localSheetId="3">'Summary Original'!$A$1:$F$59</definedName>
    <definedName name="_xlnm.Print_Area">#REF!</definedName>
    <definedName name="private_flat_gia">[20]Assumptions!$C$59:$C$63</definedName>
    <definedName name="PROJECT" localSheetId="4">#REF!</definedName>
    <definedName name="PROJECT">#REF!</definedName>
    <definedName name="Project_Title">'[10]Master Data Sheet'!$D$19</definedName>
    <definedName name="PROJECTED_TOTAL" localSheetId="4">'[29]4.0 Exec Summary'!#REF!</definedName>
    <definedName name="PROJECTED_TOTAL">'[29]4.0 Exec Summary'!#REF!</definedName>
    <definedName name="quants">[5]Abstract!$C$18:$H$283</definedName>
    <definedName name="reception1" localSheetId="4">#REF!</definedName>
    <definedName name="reception1">#REF!</definedName>
    <definedName name="Recp_girth">[11]Descriptions!$AF$379</definedName>
    <definedName name="Restaurant_Carpet">'[14]Input Sheet'!$F$20</definedName>
    <definedName name="restaurant1" localSheetId="4">#REF!</definedName>
    <definedName name="restaurant1">#REF!</definedName>
    <definedName name="Retention_percentage">'[10]Master Data Sheet'!$D$37</definedName>
    <definedName name="Retention_period">'[10]Master Data Sheet'!$D$36</definedName>
    <definedName name="Revision">'[10]Master Data Sheet'!$D$22</definedName>
    <definedName name="riba_plan">[5]Basis!$A$124:$D$135</definedName>
    <definedName name="RiskAfterRecalcMacro" hidden="1">""</definedName>
    <definedName name="RiskAfterSimMacro" hidden="1">""</definedName>
    <definedName name="RiskAutoStopPercChange">1.5</definedName>
    <definedName name="RiskBeforeRecalcMacro" hidden="1">""</definedName>
    <definedName name="RiskBeforeSimMacro" hidden="1">""</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MultipleCPUSupportEnabled" hidden="1">TRUE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StatFunctionsUpdateFreq">1</definedName>
    <definedName name="RiskUpdateDisplay">FALSE</definedName>
    <definedName name="RiskUpdateStatFunctions">TRUE</definedName>
    <definedName name="RiskUseDifferentSeedForEachSim">FALSE</definedName>
    <definedName name="RiskUseFixedSeed">FALSE</definedName>
    <definedName name="RiskUseMultipleCPUs">FALSE</definedName>
    <definedName name="Room_total">'[14]Input Sheet'!$B$13</definedName>
    <definedName name="s" localSheetId="4" hidden="1">{#N/A,#N/A,FALSE,"Aging Summary";#N/A,#N/A,FALSE,"Ratio Analysis";#N/A,#N/A,FALSE,"Test 120 Day Accts";#N/A,#N/A,FALSE,"Tickmarks"}</definedName>
    <definedName name="s" hidden="1">{#N/A,#N/A,FALSE,"Aging Summary";#N/A,#N/A,FALSE,"Ratio Analysis";#N/A,#N/A,FALSE,"Test 120 Day Accts";#N/A,#N/A,FALSE,"Tickmarks"}</definedName>
    <definedName name="S.1">'[30]1'!$D$21</definedName>
    <definedName name="S.10">'[31]10'!$D$21</definedName>
    <definedName name="S.2">'[32]2'!$D$21</definedName>
    <definedName name="S.3">'[33]3'!$D$21</definedName>
    <definedName name="S.4">'[34]4'!$D$21</definedName>
    <definedName name="S.5" localSheetId="4">[29]Contents!#REF!</definedName>
    <definedName name="S.5">[29]Contents!#REF!</definedName>
    <definedName name="S.6" localSheetId="4">[29]Contents!#REF!</definedName>
    <definedName name="S.6">[29]Contents!#REF!</definedName>
    <definedName name="S.7" localSheetId="4">[29]Contents!#REF!</definedName>
    <definedName name="S.7">[29]Contents!#REF!</definedName>
    <definedName name="S.8">'[35]8'!$D$21</definedName>
    <definedName name="S.9">'[36]9'!$D$21</definedName>
    <definedName name="Satilite_Installation" localSheetId="4">'[21]OP''s Input Sheet'!#REF!</definedName>
    <definedName name="Satilite_Installation">'[21]OP''s Input Sheet'!#REF!</definedName>
    <definedName name="Scenarios">[5]Input!$H$10:$M$283</definedName>
    <definedName name="Scope">'[25]Project Data'!$D$15</definedName>
    <definedName name="sfb">[5]Capital!$H$73:$H$74</definedName>
    <definedName name="sffactor">[5]Area!$B$13</definedName>
    <definedName name="SG"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G"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HHSHHSH"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HSHHSH"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HSHS"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SHSHS"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SHSHSHSH"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HSHSHSH"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SiteArea">'[7]External Works - Build Up'!$Q$15</definedName>
    <definedName name="Stan_bath" localSheetId="4">#REF!</definedName>
    <definedName name="Stan_bath">#REF!</definedName>
    <definedName name="Stan_bed" localSheetId="4">[37]RATES!#REF!</definedName>
    <definedName name="Stan_bed">[37]RATES!#REF!</definedName>
    <definedName name="START" localSheetId="4">#REF!</definedName>
    <definedName name="START">#REF!</definedName>
    <definedName name="start_contingency">[5]Library!$C$1226</definedName>
    <definedName name="Start_date" localSheetId="4">#REF!</definedName>
    <definedName name="Start_date">#REF!</definedName>
    <definedName name="start_exworks">[5]Library!$C$1088</definedName>
    <definedName name="start_fins">[5]Library!$C$557</definedName>
    <definedName name="Start_fits">[5]Library!$C$759</definedName>
    <definedName name="start_mech">[5]Library!$C$820</definedName>
    <definedName name="start_prelims">[5]Library!$C$1219</definedName>
    <definedName name="start_subs">[5]Library!$C$14</definedName>
    <definedName name="start_super">[5]Library!$C$99</definedName>
    <definedName name="Style">'[14]Input Sheet'!$F$15</definedName>
    <definedName name="subs" localSheetId="4" hidden="1">{#N/A,#N/A,TRUE,"Cover";#N/A,#N/A,TRUE,"Conts";#N/A,#N/A,TRUE,"VOS";#N/A,#N/A,TRUE,"Warrington";#N/A,#N/A,TRUE,"Widnes"}</definedName>
    <definedName name="subs" hidden="1">{#N/A,#N/A,TRUE,"Cover";#N/A,#N/A,TRUE,"Conts";#N/A,#N/A,TRUE,"VOS";#N/A,#N/A,TRUE,"Warrington";#N/A,#N/A,TRUE,"Widnes"}</definedName>
    <definedName name="Subspc" localSheetId="4" hidden="1">{#N/A,#N/A,TRUE,"Cover";#N/A,#N/A,TRUE,"Conts";#N/A,#N/A,TRUE,"VOS";#N/A,#N/A,TRUE,"Warrington";#N/A,#N/A,TRUE,"Widnes"}</definedName>
    <definedName name="Subspc" hidden="1">{#N/A,#N/A,TRUE,"Cover";#N/A,#N/A,TRUE,"Conts";#N/A,#N/A,TRUE,"VOS";#N/A,#N/A,TRUE,"Warrington";#N/A,#N/A,TRUE,"Widnes"}</definedName>
    <definedName name="Team">'[14]Input Sheet'!$F$26</definedName>
    <definedName name="TELEPHONE" localSheetId="4">#REF!</definedName>
    <definedName name="TELEPHONE">#REF!</definedName>
    <definedName name="test" localSheetId="4" hidden="1">{#N/A,#N/A,FALSE,"Aging Summary";#N/A,#N/A,FALSE,"Ratio Analysis";#N/A,#N/A,FALSE,"Test 120 Day Accts";#N/A,#N/A,FALSE,"Tickmarks"}</definedName>
    <definedName name="test" hidden="1">{#N/A,#N/A,FALSE,"Aging Summary";#N/A,#N/A,FALSE,"Ratio Analysis";#N/A,#N/A,FALSE,"Test 120 Day Accts";#N/A,#N/A,FALSE,"Tickmarks"}</definedName>
    <definedName name="test_2" localSheetId="4" hidden="1">{#N/A,#N/A,FALSE,"Aging Summary";#N/A,#N/A,FALSE,"Ratio Analysis";#N/A,#N/A,FALSE,"Test 120 Day Accts";#N/A,#N/A,FALSE,"Tickmarks"}</definedName>
    <definedName name="test_2" hidden="1">{#N/A,#N/A,FALSE,"Aging Summary";#N/A,#N/A,FALSE,"Ratio Analysis";#N/A,#N/A,FALSE,"Test 120 Day Accts";#N/A,#N/A,FALSE,"Tickmarks"}</definedName>
    <definedName name="Time_stamp">34345.65111875</definedName>
    <definedName name="TITLE">'[3]Master Data Sheet'!$D$21</definedName>
    <definedName name="TollgateGIA">'[7]Tollgate Hse - Data'!$E$35</definedName>
    <definedName name="TollgateNIA">'[7]Tollgate Hse - Data'!$G$35</definedName>
    <definedName name="TollgateUnits">'[7]Tollgate Hse - Data'!$F$53</definedName>
    <definedName name="TOT1A">'[19]Cost Plan'!$K$30</definedName>
    <definedName name="TOT2A">'[19]Cost Plan'!$K$49</definedName>
    <definedName name="TOT2B">'[19]Cost Plan'!$K$68</definedName>
    <definedName name="TOT2C">'[19]Cost Plan'!$K$96</definedName>
    <definedName name="TOT2D">'[19]Cost Plan'!$K$117</definedName>
    <definedName name="TOT2E">'[19]Cost Plan'!$K$148</definedName>
    <definedName name="TOT2F">'[19]Cost Plan'!$K$163</definedName>
    <definedName name="TOT2G">'[19]Cost Plan'!$K$190</definedName>
    <definedName name="TOT2H">'[19]Cost Plan'!$K$207</definedName>
    <definedName name="TOT3A">'[19]Cost Plan'!$K$226</definedName>
    <definedName name="TOT3B">'[19]Cost Plan'!$K$253</definedName>
    <definedName name="TOT3C">'[19]Cost Plan'!$K$276</definedName>
    <definedName name="TOT4A">'[19]Cost Plan'!$K$303</definedName>
    <definedName name="TOT5A">'[19]Cost Plan'!$K$318</definedName>
    <definedName name="TOT5B">'[19]Cost Plan'!$K$332</definedName>
    <definedName name="TOT5C">'[19]Cost Plan'!$K$345</definedName>
    <definedName name="TOT5D">'[19]Cost Plan'!$K$359</definedName>
    <definedName name="TOT5E">'[19]Cost Plan'!$K$372</definedName>
    <definedName name="TOT5F">'[19]Cost Plan'!$K$401</definedName>
    <definedName name="TOT5G">'[19]Cost Plan'!$K$415</definedName>
    <definedName name="TOT5H">'[19]Cost Plan'!$K$428</definedName>
    <definedName name="TOT5I">'[19]Cost Plan'!$K$443</definedName>
    <definedName name="TOT5J">'[19]Cost Plan'!$K$455</definedName>
    <definedName name="TOT5K">'[19]Cost Plan'!$K$469</definedName>
    <definedName name="TOT5L">'[19]Cost Plan'!$K$483</definedName>
    <definedName name="TOT5M">'[19]Cost Plan'!$K$496</definedName>
    <definedName name="TOT5N">'[19]Cost Plan'!$K$510</definedName>
    <definedName name="TOT6A">'[19]Cost Plan'!$K$539</definedName>
    <definedName name="TOT6B">'[19]Cost Plan'!$K$556</definedName>
    <definedName name="TOT6C">'[19]Cost Plan'!$K$580</definedName>
    <definedName name="TOT6D">'[19]Cost Plan'!$K$593</definedName>
    <definedName name="TOT7A">'[19]Cost Plan'!$K$606</definedName>
    <definedName name="TOTAL" localSheetId="4">#REF!</definedName>
    <definedName name="TOTAL">#REF!</definedName>
    <definedName name="Total_beds" localSheetId="4">#REF!</definedName>
    <definedName name="Total_beds">#REF!</definedName>
    <definedName name="TotalCapital" localSheetId="4">#REF!</definedName>
    <definedName name="TotalCapital">#REF!</definedName>
    <definedName name="TotalNormalRevenue" localSheetId="4">#REF!</definedName>
    <definedName name="TotalNormalRevenue">#REF!</definedName>
    <definedName name="TotalRevenue" localSheetId="4">#REF!</definedName>
    <definedName name="TotalRevenue">#REF!</definedName>
    <definedName name="TotalWriteOffRevenue" localSheetId="4">#REF!</definedName>
    <definedName name="TotalWriteOffRevenue">#REF!</definedName>
    <definedName name="TOTCONTG">'[9]Cost Plan'!$L$660</definedName>
    <definedName name="TOTDESFEES">'[9]Cost Plan'!$L$688</definedName>
    <definedName name="TOTESCLTN">'[9]Cost Plan'!$L$646</definedName>
    <definedName name="TOTOHP">'[9]Cost Plan'!$L$674</definedName>
    <definedName name="TOTPRELIMS">'[9]Cost Plan'!$L$632</definedName>
    <definedName name="trjyfrjyf"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rjyfrjyf"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ty" localSheetId="4" hidden="1">{#N/A,#N/A,TRUE,"Cover";#N/A,#N/A,TRUE,"Conts";#N/A,#N/A,TRUE,"VOS";#N/A,#N/A,TRUE,"Warrington";#N/A,#N/A,TRUE,"Widnes"}</definedName>
    <definedName name="ty" hidden="1">{#N/A,#N/A,TRUE,"Cover";#N/A,#N/A,TRUE,"Conts";#N/A,#N/A,TRUE,"VOS";#N/A,#N/A,TRUE,"Warrington";#N/A,#N/A,TRUE,"Widnes"}</definedName>
    <definedName name="TYPE" localSheetId="4">#REF!</definedName>
    <definedName name="TYPE">#REF!</definedName>
    <definedName name="units">[5]Buildup!$A$2:$B$5</definedName>
    <definedName name="Update">'[9]Project Data'!$E$11</definedName>
    <definedName name="v" localSheetId="4" hidden="1">{#N/A,#N/A,TRUE,"Cover";#N/A,#N/A,TRUE,"Conts";#N/A,#N/A,TRUE,"VOS";#N/A,#N/A,TRUE,"Warrington";#N/A,#N/A,TRUE,"Widnes"}</definedName>
    <definedName name="v" hidden="1">{#N/A,#N/A,TRUE,"Cover";#N/A,#N/A,TRUE,"Conts";#N/A,#N/A,TRUE,"VOS";#N/A,#N/A,TRUE,"Warrington";#N/A,#N/A,TRUE,"Widnes"}</definedName>
    <definedName name="VAT">[5]Input!$E$59</definedName>
    <definedName name="VEIdeas" localSheetId="4">MAX(Page)</definedName>
    <definedName name="VEIdeas">MAX(Page)</definedName>
    <definedName name="Vinyl">[6]DATA!$F$11</definedName>
    <definedName name="wanker">'[38]Master Data Sheet'!$I$36</definedName>
    <definedName name="workpackages">[5]Workpackages!$G$29:$P$136</definedName>
    <definedName name="WPlist">'[9]WP Summary'!$B$11:$B$181</definedName>
    <definedName name="WriteOffRevenue" localSheetId="4">#REF!</definedName>
    <definedName name="WriteOffRevenue">#REF!</definedName>
    <definedName name="wrn.Aging._.and._.Trend._.Analysis." localSheetId="4"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ging._.and._.Trend._.Analysis._2" localSheetId="4" hidden="1">{#N/A,#N/A,FALSE,"Aging Summary";#N/A,#N/A,FALSE,"Ratio Analysis";#N/A,#N/A,FALSE,"Test 120 Day Accts";#N/A,#N/A,FALSE,"Tickmarks"}</definedName>
    <definedName name="wrn.Aging._.and._.Trend._.Analysis._2" hidden="1">{#N/A,#N/A,FALSE,"Aging Summary";#N/A,#N/A,FALSE,"Ratio Analysis";#N/A,#N/A,FALSE,"Test 120 Day Accts";#N/A,#N/A,FALSE,"Tickmarks"}</definedName>
    <definedName name="wrn.Backup." localSheetId="4" hidden="1">{#N/A,#N/A,FALSE,"SUBS";#N/A,#N/A,FALSE,"SUPERS";#N/A,#N/A,FALSE,"FINISHES";#N/A,#N/A,FALSE,"FITTINGS";#N/A,#N/A,FALSE,"SERVICES";#N/A,#N/A,FALSE,"SITEWORKS"}</definedName>
    <definedName name="wrn.Backup." hidden="1">{#N/A,#N/A,FALSE,"SUBS";#N/A,#N/A,FALSE,"SUPERS";#N/A,#N/A,FALSE,"FINISHES";#N/A,#N/A,FALSE,"FITTINGS";#N/A,#N/A,FALSE,"SERVICES";#N/A,#N/A,FALSE,"SITEWORKS"}</definedName>
    <definedName name="wrn.buildstruct." localSheetId="4"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buildstruct." hidden="1">{#N/A,#N/A,FALSE,"611m";#N/A,#N/A,FALSE,"601M";#N/A,#N/A,FALSE,"610M";#N/A,#N/A,FALSE,"612M";#N/A,#N/A,FALSE,"613M";#N/A,#N/A,FALSE,"620M";#N/A,#N/A,FALSE,"621M";#N/A,#N/A,FALSE,"622M";#N/A,#N/A,FALSE,"630M";#N/A,#N/A,FALSE,"640M";#N/A,#N/A,FALSE,"641M";#N/A,#N/A,FALSE,"650M";#N/A,#N/A,FALSE,"660M";#N/A,#N/A,FALSE,"661M";#N/A,#N/A,FALSE,"670M";#N/A,#N/A,FALSE,"680M";#N/A,#N/A,FALSE,"688M";#N/A,#N/A,FALSE,"689M";#N/A,#N/A,FALSE,"690M";#N/A,#N/A,FALSE,"698M";#N/A,#N/A,FALSE,"698O"}</definedName>
    <definedName name="wrn.Cost._.Plan._.Report." localSheetId="4" hidden="1">{"Summary",#N/A,TRUE,"Summary";"Cost Plan",#N/A,TRUE,"Cost Plan"}</definedName>
    <definedName name="wrn.Cost._.Plan._.Report." hidden="1">{"Summary",#N/A,TRUE,"Summary";"Cost Plan",#N/A,TRUE,"Cost Plan"}</definedName>
    <definedName name="wrn.Cost._.Report." localSheetId="4" hidden="1">{#N/A,#N/A,TRUE,"COVER";#N/A,#N/A,TRUE,"DETAILS";#N/A,#N/A,TRUE,"SUMMARY";#N/A,#N/A,TRUE,"EXP MON";#N/A,#N/A,TRUE,"APPENDIX A";#N/A,#N/A,TRUE,"APPENDIX B";#N/A,#N/A,TRUE,"APPENDIX C";#N/A,#N/A,TRUE,"APPENDIX D";#N/A,#N/A,TRUE,"APPENDIX E";#N/A,#N/A,TRUE,"APPENDIX F";#N/A,#N/A,TRUE,"APPENDIX G"}</definedName>
    <definedName name="wrn.Cost._.Report." hidden="1">{#N/A,#N/A,TRUE,"COVER";#N/A,#N/A,TRUE,"DETAILS";#N/A,#N/A,TRUE,"SUMMARY";#N/A,#N/A,TRUE,"EXP MON";#N/A,#N/A,TRUE,"APPENDIX A";#N/A,#N/A,TRUE,"APPENDIX B";#N/A,#N/A,TRUE,"APPENDIX C";#N/A,#N/A,TRUE,"APPENDIX D";#N/A,#N/A,TRUE,"APPENDIX E";#N/A,#N/A,TRUE,"APPENDIX F";#N/A,#N/A,TRUE,"APPENDIX G"}</definedName>
    <definedName name="wrn.Landlords." localSheetId="4"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Landlords." hidden="1">{#N/A,#N/A,FALSE,"701M";#N/A,#N/A,FALSE,"710M";#N/A,#N/A,FALSE,"720M";#N/A,#N/A,FALSE,"730M";#N/A,#N/A,FALSE,"731M";#N/A,#N/A,FALSE,"732M";#N/A,#N/A,FALSE,"733M";#N/A,#N/A,FALSE,"740M";#N/A,#N/A,FALSE,"741M";#N/A,#N/A,FALSE,"742M";#N/A,#N/A,FALSE,"750M";#N/A,#N/A,FALSE,"760M";#N/A,#N/A,FALSE,"770M";#N/A,#N/A,FALSE,"771M";#N/A,#N/A,FALSE,"772M";#N/A,#N/A,FALSE,"780M";#N/A,#N/A,FALSE,"788M";#N/A,#N/A,FALSE,"789M";#N/A,#N/A,FALSE,"790M";#N/A,#N/A,FALSE,"798M";#N/A,#N/A,FALSE,"798O"}</definedName>
    <definedName name="wrn.REP50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 localSheetId="4"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 hidden="1">{#N/A,#N/A,FALSE,"contents 5.02";#N/A,#N/A,FALSE,"introduction";#N/A,#N/A,FALSE,"summary of costs";#N/A,#N/A,FALSE,"exclusions 5.02";"FEET",#N/A,FALSE,"total areas";"FEET",#N/A,FALSE,"liffe areas";"FEET",#N/A,FALSE,"tenant areas";"FEET",#N/A,FALSE,"carpark areas";"TOTAL",#N/A,FALSE,"s&amp;c summary";"TOTAL",#N/A,FALSE,"cost plan";"LIFFE",#N/A,FALSE,"s&amp;c summary";"LIFFE",#N/A,FALSE,"cost plan";"TENANT",#N/A,FALSE,"s&amp;c summary";"TENANT AREAS",#N/A,FALSE,"cost plan";"CARPARK",#N/A,FALSE,"s&amp;c summary";"CAR PARK",#N/A,FALSE,"cost plan";#N/A,#N/A,FALSE,"enhancements";#N/A,#N/A,FALSE,"fit out summary";#N/A,#N/A,FALSE,"fit out phase1";#N/A,#N/A,FALSE,"fit out phase2";#N/A,#N/A,FALSE,"in fill summary";#N/A,#N/A,FALSE,"in fill costs";#N/A,#N/A,FALSE,"disc"}</definedName>
    <definedName name="wrn.REP502.1" localSheetId="4"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2.1" hidden="1">{#N/A,#N/A,FALSE,"contents 5.01";#N/A,#N/A,FALSE,"introduction";#N/A,#N/A,FALSE,"cw summary";#N/A,#N/A,FALSE,"exclusions 5.02";"FEET",#N/A,FALSE,"total areas";"TOTAL",#N/A,FALSE,"s&amp;c summary";"LIFFE",#N/A,FALSE,"s&amp;c summary";"TENANT",#N/A,FALSE,"s&amp;c summary";"CARPARK",#N/A,FALSE,"s&amp;c summary";#N/A,#N/A,FALSE,"enhancements";#N/A,#N/A,FALSE,"fit out summary";#N/A,#N/A,FALSE,"in fill summary";#N/A,#N/A,FALSE,"disc"}</definedName>
    <definedName name="wrn.REP503." localSheetId="4"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REP503." hidden="1">{#N/A,#N/A,FALSE,"contents 5.03";#N/A,#N/A,FALSE,"introduction";#N/A,#N/A,FALSE,"summary of costs";#N/A,#N/A,FALSE,"exclusions 5.03";"FEET",#N/A,FALSE,"total areas";"FEET",#N/A,FALSE,"liffe areas";"FEET",#N/A,FALSE,"tenant areas";"FEET",#N/A,FALSE,"carpark areas";"TOTALINF",#N/A,FALSE,"s&amp;c summary";"TOTAL",#N/A,FALSE,"cost plan";"LIFFEINF",#N/A,FALSE,"s&amp;c summary";"LIFFE",#N/A,FALSE,"cost plan";"TENINF",#N/A,FALSE,"s&amp;c summary";"TENANT AREAS",#N/A,FALSE,"cost plan";"CARPINF",#N/A,FALSE,"s&amp;c summary";"CAR PARK",#N/A,FALSE,"cost plan";#N/A,#N/A,FALSE,"enhancements";#N/A,#N/A,FALSE,"fit out summary";#N/A,#N/A,FALSE,"fit out phase1";#N/A,#N/A,FALSE,"fit out phase2";#N/A,#N/A,FALSE,"in fill summary";#N/A,#N/A,FALSE,"in fill costs";#N/A,#N/A,FALSE,"disc"}</definedName>
    <definedName name="wrn.summary." localSheetId="4" hidden="1">{#N/A,#N/A,FALSE,"Summary information";#N/A,#N/A,FALSE,"BLANK"}</definedName>
    <definedName name="wrn.summary." hidden="1">{#N/A,#N/A,FALSE,"Summary information";#N/A,#N/A,FALSE,"BLANK"}</definedName>
    <definedName name="wrn.Tenants." localSheetId="4"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Tenants." hidden="1">{#N/A,#N/A,FALSE,"898M";#N/A,#N/A,FALSE,"898O";#N/A,#N/A,FALSE,"889M";#N/A,#N/A,FALSE,"888M";#N/A,#N/A,FALSE,"882M";#N/A,#N/A,FALSE,"881M";#N/A,#N/A,FALSE,"880M";#N/A,#N/A,FALSE,"873M";#N/A,#N/A,FALSE,"872M";#N/A,#N/A,FALSE,"871M";#N/A,#N/A,FALSE,"870M";#N/A,#N/A,FALSE,"861M";#N/A,#N/A,FALSE,"860M";#N/A,#N/A,FALSE,"850M";#N/A,#N/A,FALSE,"843M";#N/A,#N/A,FALSE,"842M";#N/A,#N/A,FALSE,"841M";#N/A,#N/A,FALSE,"840M";#N/A,#N/A,FALSE,"831M";#N/A,#N/A,FALSE,"830M";#N/A,#N/A,FALSE,"821M";#N/A,#N/A,FALSE,"820M";#N/A,#N/A,FALSE,"814M";#N/A,#N/A,FALSE,"813M";#N/A,#N/A,FALSE,"812M";#N/A,#N/A,FALSE,"811M";#N/A,#N/A,FALSE,"810M";#N/A,#N/A,FALSE,"803M";#N/A,#N/A,FALSE,"802M";#N/A,#N/A,FALSE,"801M"}</definedName>
    <definedName name="wrn.Warrington._.Widnes._.QS._.Costs." localSheetId="4" hidden="1">{#N/A,#N/A,TRUE,"Cover";#N/A,#N/A,TRUE,"Conts";#N/A,#N/A,TRUE,"VOS";#N/A,#N/A,TRUE,"Warrington";#N/A,#N/A,TRUE,"Widnes"}</definedName>
    <definedName name="wrn.Warrington._.Widnes._.QS._.Costs." hidden="1">{#N/A,#N/A,TRUE,"Cover";#N/A,#N/A,TRUE,"Conts";#N/A,#N/A,TRUE,"VOS";#N/A,#N/A,TRUE,"Warrington";#N/A,#N/A,TRUE,"Widnes"}</definedName>
    <definedName name="XXX" localSheetId="4" hidden="1">{#N/A,#N/A,FALSE,"Aging Summary";#N/A,#N/A,FALSE,"Ratio Analysis";#N/A,#N/A,FALSE,"Test 120 Day Accts";#N/A,#N/A,FALSE,"Tickmarks"}</definedName>
    <definedName name="XXX" hidden="1">{#N/A,#N/A,FALSE,"Aging Summary";#N/A,#N/A,FALSE,"Ratio Analysis";#N/A,#N/A,FALSE,"Test 120 Day Accts";#N/A,#N/A,FALSE,"Tickmarks"}</definedName>
    <definedName name="YEAR1" localSheetId="4">#REF!</definedName>
    <definedName name="YEAR1">#REF!</definedName>
    <definedName name="YEAR2" localSheetId="4">#REF!</definedName>
    <definedName name="YEAR2">#REF!</definedName>
    <definedName name="YEAR3" localSheetId="4">#REF!</definedName>
    <definedName name="YEAR3">#REF!</definedName>
    <definedName name="YEAR4" localSheetId="4">#REF!</definedName>
    <definedName name="YEAR4">#REF!</definedName>
    <definedName name="YEAR5" localSheetId="4">#REF!</definedName>
    <definedName name="YEAR5">#REF!</definedName>
    <definedName name="YEAR6" localSheetId="4">#REF!</definedName>
    <definedName name="YEAR6">#REF!</definedName>
    <definedName name="Z_C021B1C7_1530_4257_9AB9_7BCB87E5EDB9_.wvu.PrintTitles" localSheetId="4" hidden="1">#REF!</definedName>
    <definedName name="Z_C021B1C7_1530_4257_9AB9_7BCB87E5EDB9_.wvu.PrintTitles"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0" i="11" l="1"/>
  <c r="K247" i="9"/>
  <c r="J263" i="9"/>
  <c r="J261" i="9"/>
  <c r="J259" i="9"/>
  <c r="J257" i="9"/>
  <c r="J255" i="9"/>
  <c r="J253" i="9"/>
  <c r="J249" i="9"/>
  <c r="J251" i="9"/>
  <c r="I255" i="9"/>
  <c r="P12" i="12"/>
  <c r="K12" i="12"/>
  <c r="P9" i="12"/>
  <c r="P10" i="12"/>
  <c r="P11" i="12"/>
  <c r="P8" i="12"/>
  <c r="K9" i="12"/>
  <c r="K10" i="12"/>
  <c r="K11" i="12"/>
  <c r="K8" i="12"/>
  <c r="N9" i="12"/>
  <c r="N10" i="12"/>
  <c r="N11" i="12"/>
  <c r="I9" i="12"/>
  <c r="I10" i="12"/>
  <c r="I11" i="12"/>
  <c r="N8" i="12"/>
  <c r="I8" i="12"/>
  <c r="I51" i="9"/>
  <c r="E9" i="12" s="1"/>
  <c r="F9" i="12" s="1"/>
  <c r="J51" i="9" l="1"/>
  <c r="N16" i="11"/>
  <c r="C31" i="11"/>
  <c r="C30" i="11"/>
  <c r="E12" i="11"/>
  <c r="D16" i="11"/>
  <c r="E16" i="11" s="1"/>
  <c r="C15" i="11"/>
  <c r="J149" i="9"/>
  <c r="J135" i="9"/>
  <c r="I270" i="9"/>
  <c r="J270" i="9" s="1"/>
  <c r="K270" i="9" s="1"/>
  <c r="I245" i="9"/>
  <c r="J245" i="9" s="1"/>
  <c r="I241" i="9"/>
  <c r="J241" i="9" s="1"/>
  <c r="I239" i="9"/>
  <c r="J239" i="9" s="1"/>
  <c r="I237" i="9"/>
  <c r="J237" i="9" s="1"/>
  <c r="I235" i="9"/>
  <c r="J235" i="9" s="1"/>
  <c r="I233" i="9"/>
  <c r="J233" i="9" s="1"/>
  <c r="I231" i="9"/>
  <c r="J231" i="9" s="1"/>
  <c r="I229" i="9"/>
  <c r="J229" i="9" s="1"/>
  <c r="I225" i="9"/>
  <c r="J225" i="9" s="1"/>
  <c r="I223" i="9"/>
  <c r="J223" i="9" s="1"/>
  <c r="I218" i="9"/>
  <c r="J218" i="9" s="1"/>
  <c r="I212" i="9"/>
  <c r="J212" i="9" s="1"/>
  <c r="I197" i="9"/>
  <c r="J197" i="9" s="1"/>
  <c r="I210" i="9"/>
  <c r="J210" i="9" s="1"/>
  <c r="I203" i="9"/>
  <c r="J203" i="9" s="1"/>
  <c r="I199" i="9"/>
  <c r="J199" i="9" s="1"/>
  <c r="I193" i="9"/>
  <c r="J193" i="9" s="1"/>
  <c r="I191" i="9"/>
  <c r="J191" i="9" s="1"/>
  <c r="I189" i="9"/>
  <c r="J189" i="9" s="1"/>
  <c r="I187" i="9"/>
  <c r="J187" i="9" s="1"/>
  <c r="I178" i="9"/>
  <c r="J178" i="9" s="1"/>
  <c r="I176" i="9"/>
  <c r="J176" i="9" s="1"/>
  <c r="I172" i="9"/>
  <c r="J172" i="9" s="1"/>
  <c r="I170" i="9"/>
  <c r="I162" i="9"/>
  <c r="I159" i="9"/>
  <c r="J159" i="9" s="1"/>
  <c r="I156" i="9"/>
  <c r="J156" i="9" s="1"/>
  <c r="I128" i="9"/>
  <c r="I124" i="9"/>
  <c r="J124" i="9" s="1"/>
  <c r="I122" i="9"/>
  <c r="I120" i="9"/>
  <c r="I118" i="9"/>
  <c r="J118" i="9" s="1"/>
  <c r="I113" i="9"/>
  <c r="I107" i="9"/>
  <c r="J107" i="9" s="1"/>
  <c r="I105" i="9"/>
  <c r="I103" i="9"/>
  <c r="J103" i="9" s="1"/>
  <c r="I93" i="9"/>
  <c r="J93" i="9" s="1"/>
  <c r="I91" i="9"/>
  <c r="E10" i="12" s="1"/>
  <c r="F10" i="12" s="1"/>
  <c r="I87" i="9"/>
  <c r="I85" i="9"/>
  <c r="J85" i="9" s="1"/>
  <c r="I82" i="9"/>
  <c r="J82" i="9" s="1"/>
  <c r="I80" i="9"/>
  <c r="J80" i="9" s="1"/>
  <c r="I76" i="9"/>
  <c r="J76" i="9" s="1"/>
  <c r="I73" i="9"/>
  <c r="J73" i="9" s="1"/>
  <c r="I71" i="9"/>
  <c r="J71" i="9" s="1"/>
  <c r="I66" i="9"/>
  <c r="J66" i="9" s="1"/>
  <c r="I64" i="9"/>
  <c r="E11" i="12" s="1"/>
  <c r="F11" i="12" s="1"/>
  <c r="I59" i="9"/>
  <c r="I55" i="9"/>
  <c r="J55" i="9" s="1"/>
  <c r="I53" i="9"/>
  <c r="J53" i="9" s="1"/>
  <c r="I44" i="9"/>
  <c r="J44" i="9" s="1"/>
  <c r="I42" i="9"/>
  <c r="J42" i="9" s="1"/>
  <c r="I40" i="9"/>
  <c r="E8" i="12" s="1"/>
  <c r="F8" i="12" s="1"/>
  <c r="I29" i="9"/>
  <c r="J29" i="9" s="1"/>
  <c r="I28" i="9"/>
  <c r="J28" i="9" s="1"/>
  <c r="I25" i="9"/>
  <c r="J25" i="9" s="1"/>
  <c r="I22" i="9"/>
  <c r="J22" i="9" s="1"/>
  <c r="I19" i="9"/>
  <c r="J19" i="9" s="1"/>
  <c r="F91" i="9"/>
  <c r="D18" i="7"/>
  <c r="C14" i="11" s="1"/>
  <c r="J214" i="9"/>
  <c r="J147" i="9"/>
  <c r="J151" i="9"/>
  <c r="J143" i="9"/>
  <c r="J141" i="9"/>
  <c r="J137" i="9"/>
  <c r="J134" i="9"/>
  <c r="F122" i="9"/>
  <c r="F128" i="9"/>
  <c r="F120" i="9"/>
  <c r="F113" i="9"/>
  <c r="I74" i="9"/>
  <c r="J74" i="9" s="1"/>
  <c r="F105" i="9"/>
  <c r="J95" i="9"/>
  <c r="J87" i="9"/>
  <c r="J46" i="9"/>
  <c r="I46" i="9" s="1"/>
  <c r="J38" i="9"/>
  <c r="J36" i="9"/>
  <c r="J68" i="9"/>
  <c r="J64" i="9"/>
  <c r="F59" i="9"/>
  <c r="J165" i="9"/>
  <c r="F40" i="9"/>
  <c r="E37" i="7"/>
  <c r="C43" i="7"/>
  <c r="C42" i="7"/>
  <c r="C41" i="7"/>
  <c r="C40" i="7"/>
  <c r="B43" i="7"/>
  <c r="B42" i="7"/>
  <c r="B41" i="7"/>
  <c r="B40" i="7"/>
  <c r="C18" i="11" s="1"/>
  <c r="F31" i="7"/>
  <c r="F32" i="7"/>
  <c r="F33" i="7"/>
  <c r="F36" i="7"/>
  <c r="F30" i="7"/>
  <c r="D17" i="7"/>
  <c r="C13" i="11" s="1"/>
  <c r="D16" i="7"/>
  <c r="C12" i="11" s="1"/>
  <c r="D15" i="7"/>
  <c r="C11" i="11" s="1"/>
  <c r="D14" i="7"/>
  <c r="C10" i="11" s="1"/>
  <c r="D13" i="7"/>
  <c r="C9" i="11" s="1"/>
  <c r="D12" i="7"/>
  <c r="C8" i="11" s="1"/>
  <c r="F12" i="12" l="1"/>
  <c r="K130" i="9"/>
  <c r="E16" i="7" s="1"/>
  <c r="D12" i="11" s="1"/>
  <c r="H12" i="11" s="1"/>
  <c r="F16" i="11"/>
  <c r="G16" i="11" s="1"/>
  <c r="H16" i="11" s="1"/>
  <c r="J16" i="11" s="1"/>
  <c r="K16" i="11" s="1"/>
  <c r="L16" i="11" s="1"/>
  <c r="E18" i="7"/>
  <c r="J170" i="9"/>
  <c r="J162" i="9"/>
  <c r="J122" i="9"/>
  <c r="J113" i="9"/>
  <c r="J120" i="9"/>
  <c r="J128" i="9"/>
  <c r="J105" i="9"/>
  <c r="J91" i="9"/>
  <c r="K15" i="9"/>
  <c r="J59" i="9"/>
  <c r="J40" i="9"/>
  <c r="K33" i="9" s="1"/>
  <c r="E13" i="7" s="1"/>
  <c r="D9" i="11" s="1"/>
  <c r="E9" i="11" s="1"/>
  <c r="E35" i="7"/>
  <c r="F35" i="7" s="1"/>
  <c r="E34" i="7"/>
  <c r="K48" i="9" l="1"/>
  <c r="K12" i="11"/>
  <c r="F18" i="7"/>
  <c r="D14" i="11"/>
  <c r="J12" i="11"/>
  <c r="F9" i="11"/>
  <c r="N9" i="11" s="1"/>
  <c r="E12" i="7"/>
  <c r="E14" i="7"/>
  <c r="D10" i="11" s="1"/>
  <c r="K109" i="9"/>
  <c r="K152" i="9"/>
  <c r="F13" i="7"/>
  <c r="F34" i="7"/>
  <c r="H10" i="11" l="1"/>
  <c r="G10" i="11"/>
  <c r="F12" i="7"/>
  <c r="D8" i="11"/>
  <c r="L12" i="11"/>
  <c r="N12" i="11" s="1"/>
  <c r="J14" i="11"/>
  <c r="K14" i="11"/>
  <c r="K268" i="9"/>
  <c r="J273" i="9" s="1"/>
  <c r="E17" i="7"/>
  <c r="E15" i="7"/>
  <c r="D11" i="11" s="1"/>
  <c r="F16" i="7"/>
  <c r="F14" i="7"/>
  <c r="F37" i="7"/>
  <c r="L14" i="11" l="1"/>
  <c r="N14" i="11" s="1"/>
  <c r="H11" i="11"/>
  <c r="J11" i="11"/>
  <c r="K11" i="11"/>
  <c r="J10" i="11"/>
  <c r="N10" i="11" s="1"/>
  <c r="E8" i="11"/>
  <c r="F17" i="7"/>
  <c r="D13" i="11"/>
  <c r="J275" i="9"/>
  <c r="J279" i="9"/>
  <c r="J283" i="9"/>
  <c r="F15" i="7"/>
  <c r="L11" i="11" l="1"/>
  <c r="N11" i="11" s="1"/>
  <c r="E13" i="11"/>
  <c r="J13" i="11"/>
  <c r="F13" i="11"/>
  <c r="K13" i="11" l="1"/>
  <c r="N13" i="11" s="1"/>
  <c r="E42" i="7" l="1"/>
  <c r="F42" i="7" s="1"/>
  <c r="E43" i="7"/>
  <c r="F43" i="7" s="1"/>
  <c r="E40" i="7" l="1"/>
  <c r="K284" i="9"/>
  <c r="E41" i="7"/>
  <c r="F41" i="7" l="1"/>
  <c r="D19" i="11"/>
  <c r="E19" i="11" s="1"/>
  <c r="F40" i="7"/>
  <c r="D18" i="11"/>
  <c r="E18" i="11" s="1"/>
  <c r="E19" i="7"/>
  <c r="D15" i="11" s="1"/>
  <c r="K286" i="9"/>
  <c r="E44" i="7"/>
  <c r="F44" i="7" l="1"/>
  <c r="F18" i="11"/>
  <c r="G18" i="11" s="1"/>
  <c r="H18" i="11" s="1"/>
  <c r="J18" i="11" s="1"/>
  <c r="K18" i="11" s="1"/>
  <c r="L18" i="11" s="1"/>
  <c r="E15" i="11"/>
  <c r="F19" i="11"/>
  <c r="G19" i="11" s="1"/>
  <c r="H19" i="11" s="1"/>
  <c r="J19" i="11" s="1"/>
  <c r="K19" i="11" s="1"/>
  <c r="L19" i="11" s="1"/>
  <c r="E21" i="7"/>
  <c r="E26" i="7" s="1"/>
  <c r="F19" i="7"/>
  <c r="N19" i="11" l="1"/>
  <c r="F15" i="11"/>
  <c r="G15" i="11" s="1"/>
  <c r="H15" i="11" s="1"/>
  <c r="N18" i="11"/>
  <c r="F21" i="7"/>
  <c r="F26" i="7" s="1"/>
  <c r="F28" i="7" s="1"/>
  <c r="F46" i="7" s="1"/>
  <c r="E28" i="7"/>
  <c r="E46" i="7" s="1"/>
  <c r="J15" i="11" l="1"/>
  <c r="I15" i="11"/>
  <c r="I20" i="11" s="1"/>
  <c r="H3" i="7"/>
  <c r="H2" i="7"/>
  <c r="I23" i="11" l="1"/>
  <c r="I31" i="11" s="1"/>
  <c r="I29" i="11"/>
  <c r="I22" i="11"/>
  <c r="I30" i="11" s="1"/>
  <c r="K15" i="11"/>
  <c r="L15" i="11" s="1"/>
  <c r="M15" i="11" s="1"/>
  <c r="M20" i="11" s="1"/>
  <c r="E51" i="7"/>
  <c r="F51" i="7" s="1"/>
  <c r="E53" i="7"/>
  <c r="F53" i="7" s="1"/>
  <c r="E52" i="7"/>
  <c r="F52" i="7" s="1"/>
  <c r="E50" i="7"/>
  <c r="E55" i="7" l="1"/>
  <c r="D17" i="11" s="1"/>
  <c r="N15" i="11"/>
  <c r="I24" i="11"/>
  <c r="M23" i="11"/>
  <c r="M31" i="11" s="1"/>
  <c r="M22" i="11"/>
  <c r="M30" i="11" s="1"/>
  <c r="M29" i="11"/>
  <c r="I32" i="11"/>
  <c r="F50" i="7"/>
  <c r="F55" i="7" s="1"/>
  <c r="F57" i="7" s="1"/>
  <c r="F8" i="11"/>
  <c r="G8" i="11"/>
  <c r="H8" i="11" s="1"/>
  <c r="E57" i="7" l="1"/>
  <c r="M32" i="11"/>
  <c r="M33" i="11" s="1"/>
  <c r="M34" i="11" s="1"/>
  <c r="I33" i="11"/>
  <c r="I34" i="11" s="1"/>
  <c r="M24" i="11"/>
  <c r="E17" i="11"/>
  <c r="D22" i="11"/>
  <c r="J8" i="11"/>
  <c r="F17" i="11" l="1"/>
  <c r="E20" i="11"/>
  <c r="D29" i="11"/>
  <c r="D23" i="11"/>
  <c r="D31" i="11" s="1"/>
  <c r="D30" i="11"/>
  <c r="K8" i="11"/>
  <c r="G17" i="11" l="1"/>
  <c r="F20" i="11"/>
  <c r="E29" i="11"/>
  <c r="E23" i="11"/>
  <c r="E22" i="11"/>
  <c r="E30" i="11" s="1"/>
  <c r="D32" i="11"/>
  <c r="D24" i="11"/>
  <c r="N8" i="11"/>
  <c r="E24" i="11" l="1"/>
  <c r="E31" i="11"/>
  <c r="E32" i="11" s="1"/>
  <c r="F23" i="11"/>
  <c r="F31" i="11" s="1"/>
  <c r="F29" i="11"/>
  <c r="F22" i="11"/>
  <c r="F30" i="11" s="1"/>
  <c r="H17" i="11"/>
  <c r="G20" i="11"/>
  <c r="D33" i="11"/>
  <c r="D34" i="11" s="1"/>
  <c r="G23" i="11" l="1"/>
  <c r="G31" i="11" s="1"/>
  <c r="G22" i="11"/>
  <c r="G30" i="11" s="1"/>
  <c r="G29" i="11"/>
  <c r="E33" i="11"/>
  <c r="E34" i="11" s="1"/>
  <c r="F32" i="11"/>
  <c r="J17" i="11"/>
  <c r="H20" i="11"/>
  <c r="F24" i="11"/>
  <c r="F33" i="11" l="1"/>
  <c r="F34" i="11" s="1"/>
  <c r="G32" i="11"/>
  <c r="K17" i="11"/>
  <c r="J20" i="11"/>
  <c r="H23" i="11"/>
  <c r="H31" i="11" s="1"/>
  <c r="H29" i="11"/>
  <c r="H22" i="11"/>
  <c r="H30" i="11" s="1"/>
  <c r="G24" i="11"/>
  <c r="H24" i="11" l="1"/>
  <c r="H32" i="11"/>
  <c r="H33" i="11" s="1"/>
  <c r="G33" i="11"/>
  <c r="G34" i="11" s="1"/>
  <c r="J23" i="11"/>
  <c r="J31" i="11" s="1"/>
  <c r="J29" i="11"/>
  <c r="J22" i="11"/>
  <c r="J30" i="11" s="1"/>
  <c r="L17" i="11"/>
  <c r="L20" i="11" s="1"/>
  <c r="K20" i="11"/>
  <c r="H34" i="11" l="1"/>
  <c r="J24" i="11"/>
  <c r="N17" i="11"/>
  <c r="N20" i="11" s="1"/>
  <c r="N23" i="11" s="1"/>
  <c r="N31" i="11" s="1"/>
  <c r="J32" i="11"/>
  <c r="J33" i="11" s="1"/>
  <c r="J34" i="11" s="1"/>
  <c r="K23" i="11"/>
  <c r="K31" i="11" s="1"/>
  <c r="K29" i="11"/>
  <c r="K22" i="11"/>
  <c r="K30" i="11" s="1"/>
  <c r="L23" i="11"/>
  <c r="L31" i="11" s="1"/>
  <c r="L22" i="11"/>
  <c r="L30" i="11" s="1"/>
  <c r="L29" i="11"/>
  <c r="K32" i="11" l="1"/>
  <c r="K33" i="11" s="1"/>
  <c r="K34" i="11" s="1"/>
  <c r="L24" i="11"/>
  <c r="L32" i="11"/>
  <c r="L33" i="11" s="1"/>
  <c r="L34" i="11" s="1"/>
  <c r="N22" i="11"/>
  <c r="N30" i="11" s="1"/>
  <c r="N29" i="11"/>
  <c r="K24" i="11"/>
  <c r="N32" i="11" l="1"/>
  <c r="N33" i="11" s="1"/>
  <c r="N34" i="11" s="1"/>
  <c r="N24" i="11"/>
</calcChain>
</file>

<file path=xl/sharedStrings.xml><?xml version="1.0" encoding="utf-8"?>
<sst xmlns="http://schemas.openxmlformats.org/spreadsheetml/2006/main" count="450" uniqueCount="324">
  <si>
    <t xml:space="preserve">NRM1 Feasibility Cost Plan </t>
  </si>
  <si>
    <t>Monday 06/02/2023</t>
  </si>
  <si>
    <t>Document Status</t>
  </si>
  <si>
    <t>Revision</t>
  </si>
  <si>
    <t>Date</t>
  </si>
  <si>
    <t>Status</t>
  </si>
  <si>
    <t>Prepared by</t>
  </si>
  <si>
    <t>Checked by</t>
  </si>
  <si>
    <t>Authorised by</t>
  </si>
  <si>
    <t>DISCLAIMER</t>
  </si>
  <si>
    <t xml:space="preserve">This document and its contents have been prepared and are intended solely for [Ace Capital Projects Ltd] information and use in relation to [Jayne Pierson School of Fashion, Art &amp; Design] </t>
  </si>
  <si>
    <t>Faithful+Gould assumes no responsibility to any other party in respect of or arising out of or in connection with this document and/or its contents.</t>
  </si>
  <si>
    <t>COPYRIGHT</t>
  </si>
  <si>
    <t>The copyright of this document is vested in Faithful+Gould. This document may not be reproduced in whole or in part without their express written permission.</t>
  </si>
  <si>
    <t>Information Used &amp; Assumptions</t>
  </si>
  <si>
    <t>Information Used</t>
  </si>
  <si>
    <t>All measures have been under taken using the software app Quickscale</t>
  </si>
  <si>
    <t>General Assumptions;</t>
  </si>
  <si>
    <t>External Works is excluded unless specifically identified within the cost plan.</t>
  </si>
  <si>
    <t>External wall build up specified by client.</t>
  </si>
  <si>
    <t xml:space="preserve">Costs are based upon the information as provided. </t>
  </si>
  <si>
    <t xml:space="preserve">We have assumed a project bank account will be required for this scheme. </t>
  </si>
  <si>
    <t>We have assumed that the area of works will be decanted for the project. No allowance is made for throughways or dealing with building occupants.</t>
  </si>
  <si>
    <t>The exact nature of specification for internal doors, screens, folding partitions and finishes is assumed.</t>
  </si>
  <si>
    <t>All costs are provisional awaiting design development.</t>
  </si>
  <si>
    <t>All base costs are based on Q42024</t>
  </si>
  <si>
    <t>General Notes and Exclusions;</t>
  </si>
  <si>
    <t>All included costs are subject to variation following design development.</t>
  </si>
  <si>
    <t>A risk allowance of 10% is included for this estimate.</t>
  </si>
  <si>
    <t>VAT is excluded from the estimate.</t>
  </si>
  <si>
    <t>Works will be undertaken in a single phase.</t>
  </si>
  <si>
    <t xml:space="preserve">Local Authority Fees </t>
  </si>
  <si>
    <t xml:space="preserve">Building Regulation fees </t>
  </si>
  <si>
    <t>Acquisition &amp; associated legal</t>
  </si>
  <si>
    <t xml:space="preserve">Project details: </t>
  </si>
  <si>
    <t>Jayne Pierson, School of Fashion, Art &amp; Design</t>
  </si>
  <si>
    <t>Arts Council Contribution @15%</t>
  </si>
  <si>
    <t>Jayne Pierson Contribution @5%</t>
  </si>
  <si>
    <t xml:space="preserve">Description: </t>
  </si>
  <si>
    <t>Phase 2 of Port Talbot College</t>
  </si>
  <si>
    <t>Building Works Cost</t>
  </si>
  <si>
    <r>
      <rPr>
        <b/>
        <sz val="10"/>
        <color rgb="FF000000"/>
        <rFont val="Times New Roman"/>
        <family val="1"/>
      </rPr>
      <t>Based on GIFA of: 3041m</t>
    </r>
    <r>
      <rPr>
        <b/>
        <vertAlign val="superscript"/>
        <sz val="10"/>
        <color rgb="FF000000"/>
        <rFont val="Times New Roman"/>
        <family val="1"/>
      </rPr>
      <t>2</t>
    </r>
  </si>
  <si>
    <t xml:space="preserve">Group Element </t>
  </si>
  <si>
    <t xml:space="preserve">Element Type </t>
  </si>
  <si>
    <t xml:space="preserve">Total </t>
  </si>
  <si>
    <r>
      <t>£/m</t>
    </r>
    <r>
      <rPr>
        <b/>
        <vertAlign val="superscript"/>
        <sz val="10"/>
        <color theme="1"/>
        <rFont val="Calibri"/>
        <family val="2"/>
        <scheme val="minor"/>
      </rPr>
      <t>2</t>
    </r>
  </si>
  <si>
    <t>Group element 0</t>
  </si>
  <si>
    <t>Group element 1</t>
  </si>
  <si>
    <t>Group element 2</t>
  </si>
  <si>
    <t>Group element 3</t>
  </si>
  <si>
    <t>Group element 4</t>
  </si>
  <si>
    <t>Group element 5</t>
  </si>
  <si>
    <t>Group element 8</t>
  </si>
  <si>
    <t>Group element 9</t>
  </si>
  <si>
    <t>MAIN CONTRACTORS PRELIMINARIES</t>
  </si>
  <si>
    <t>Works cost estimate (sub total A)</t>
  </si>
  <si>
    <t>Current TPI</t>
  </si>
  <si>
    <t>Forecasted 2024 Q1 TPI</t>
  </si>
  <si>
    <t>Wales  Location Factor</t>
  </si>
  <si>
    <t>Project Constraints-Provisional sums</t>
  </si>
  <si>
    <t xml:space="preserve">Demolition and site clearence </t>
  </si>
  <si>
    <t xml:space="preserve">Building Serveys </t>
  </si>
  <si>
    <t xml:space="preserve">Knotweed treatment </t>
  </si>
  <si>
    <t xml:space="preserve">Land surveys </t>
  </si>
  <si>
    <t xml:space="preserve">Tower Crane </t>
  </si>
  <si>
    <t xml:space="preserve">Traffic management </t>
  </si>
  <si>
    <t xml:space="preserve">External services-overhead cable removal </t>
  </si>
  <si>
    <t>Project design team fees and other development costs (sub total B)</t>
  </si>
  <si>
    <t>Base cost estimate A + B (sub total C)</t>
  </si>
  <si>
    <t>Group element 13</t>
  </si>
  <si>
    <t xml:space="preserve">Design Contingency </t>
  </si>
  <si>
    <t>Risk allowance @ 2.5%</t>
  </si>
  <si>
    <t xml:space="preserve">Construction Risk </t>
  </si>
  <si>
    <t xml:space="preserve">Employers Change Risk </t>
  </si>
  <si>
    <t>Risk allowance @ 2.50%</t>
  </si>
  <si>
    <t xml:space="preserve">Other Mis. Risk </t>
  </si>
  <si>
    <t>Total Risk allowances (sub total D)</t>
  </si>
  <si>
    <t>Total Construction Cost (C + D)</t>
  </si>
  <si>
    <t xml:space="preserve">Feasibility Cost Plan </t>
  </si>
  <si>
    <t>NRM 1 phaseologies</t>
  </si>
  <si>
    <t>Estimate Cost Plan</t>
  </si>
  <si>
    <t>Jayne Peirson, School of Fashion, Art and Design</t>
  </si>
  <si>
    <t>Ref.</t>
  </si>
  <si>
    <t>Element</t>
  </si>
  <si>
    <t>Timesing</t>
  </si>
  <si>
    <t>Quantity</t>
  </si>
  <si>
    <t>Unit</t>
  </si>
  <si>
    <t>Rate</t>
  </si>
  <si>
    <t>Sub-Total</t>
  </si>
  <si>
    <t>Group-Total</t>
  </si>
  <si>
    <t>£</t>
  </si>
  <si>
    <t>GIFA</t>
  </si>
  <si>
    <t>m2</t>
  </si>
  <si>
    <t xml:space="preserve">FACILITATING WORKS </t>
  </si>
  <si>
    <t>Preliminaries</t>
  </si>
  <si>
    <t xml:space="preserve">to include managment Cost, site establishment, site supervision &amp; Contingency </t>
  </si>
  <si>
    <t>Temporary Works</t>
  </si>
  <si>
    <t xml:space="preserve">Provisional Sum </t>
  </si>
  <si>
    <t>wks</t>
  </si>
  <si>
    <t xml:space="preserve">278 Works </t>
  </si>
  <si>
    <t xml:space="preserve">Access Road to site </t>
  </si>
  <si>
    <t>m</t>
  </si>
  <si>
    <t xml:space="preserve">Services </t>
  </si>
  <si>
    <t xml:space="preserve">Mains Electrical and Gas Services </t>
  </si>
  <si>
    <t>Water mains &amp; Domestic cold water system</t>
  </si>
  <si>
    <t>SUBSTRUCTURE</t>
  </si>
  <si>
    <t>Foundations</t>
  </si>
  <si>
    <t xml:space="preserve">'Excavation to form levels </t>
  </si>
  <si>
    <t>item</t>
  </si>
  <si>
    <t>Excavate and disposal to formation level</t>
  </si>
  <si>
    <t>Plain strip foundations to ground-floor external walls, including concrete, brickwork, DPC etc</t>
  </si>
  <si>
    <t>Plain strip foundations to ground-floor internal walls, including concrete, brickwork, DPC etc</t>
  </si>
  <si>
    <t>Ground-floor slab; assumed 225 mm deep beam and block floor; structural screed; damp-proof membrane; insulation</t>
  </si>
  <si>
    <t xml:space="preserve">Allowance for groundfloor steel work for curtain wall system </t>
  </si>
  <si>
    <t>To front Elevation</t>
  </si>
  <si>
    <t>SUPERSTRUCTURE</t>
  </si>
  <si>
    <t>Frame</t>
  </si>
  <si>
    <t>Structural timber frame</t>
  </si>
  <si>
    <t>Cavity wall; facing brick outer skin; insulation; plasterboard on stud inner skin; emulsion (U-value = 0.30 W/m2K) machine-made facings; PC £550.00/1000</t>
  </si>
  <si>
    <t>Cavity wall construction, timber cladding system, insulation, 100 mm medium-density load-bearing blockwork inner leaf</t>
  </si>
  <si>
    <t>Upper Floors</t>
  </si>
  <si>
    <t>200 mm in situ reinforced concrete upper floors</t>
  </si>
  <si>
    <t>Roof</t>
  </si>
  <si>
    <t>Landscaped roofs Polyester-based elastomeric bitumen waterproofing and vapour equalization layer, copper lined bitumen membrane root barrier and waterproofing layer, separation and slip layers, protection layer, 50 mm thick drainage board, filter fleece, insulation board, Sedum vegetation blanket</t>
  </si>
  <si>
    <t>extensive (low maintenance – herbs, grasses, mosses and drought tolerant
succulents such as Sedum)</t>
  </si>
  <si>
    <t>2.3.5 Rooflights/Patent Glazing and Glazed Roofs Rooflights individual polycarbonate rooflights; rectangular; fixed light</t>
  </si>
  <si>
    <t>Extra over allowance for green roof coverings to podium roof</t>
  </si>
  <si>
    <t>Stairs &amp; Ramps</t>
  </si>
  <si>
    <t xml:space="preserve">Internal steel staircase and balustrade with concrete finish for main staircase. </t>
  </si>
  <si>
    <t xml:space="preserve">item </t>
  </si>
  <si>
    <t>Staircase; high quality finishes; stainless steel and glass balustrades; plastered and decorated soffit 3.00 m rise; dogleg</t>
  </si>
  <si>
    <t>nr</t>
  </si>
  <si>
    <t>plus or minus for each 300 mm variation in storey height</t>
  </si>
  <si>
    <t>Windows &amp; External Doors</t>
  </si>
  <si>
    <t xml:space="preserve">Windows </t>
  </si>
  <si>
    <t>Curtain walling with powder coated aluminium frame</t>
  </si>
  <si>
    <t>Aluminium triple glazed windows</t>
  </si>
  <si>
    <t>External Doors</t>
  </si>
  <si>
    <t>Aluminium external double doorsets</t>
  </si>
  <si>
    <t>'Allowance for canopies to entrances</t>
  </si>
  <si>
    <t>Internal Walls &amp; External Walls</t>
  </si>
  <si>
    <t>Sound reducing board and timber stud partitions;
generally 2 layers of board each side; various levels of
fire and sound insulations; part glazed as appropriate:</t>
  </si>
  <si>
    <t>Deduction for external walls, included in 2.1 Frame</t>
  </si>
  <si>
    <t>2.71.2</t>
  </si>
  <si>
    <t>Allow for column boxing</t>
  </si>
  <si>
    <t>Allowance for fire protection through penetrations</t>
  </si>
  <si>
    <t>Internal Doors and Screens</t>
  </si>
  <si>
    <t>2.8.1</t>
  </si>
  <si>
    <t>Internal Doors The following rates include for the supply and hang of doors, complete with all frames, architrave, typical medium standard ironmongery set and appropriate finish</t>
  </si>
  <si>
    <t>Fire doors Standard fire doors; cellular core; softwood lining; softwood architrave; aluminuim ironmongery (lockable, self-closure); painting or polishing;</t>
  </si>
  <si>
    <t>single leaf; Oak veneered; 30 min fire resistance; polished</t>
  </si>
  <si>
    <t>double leaf; Oak veneered; 30 min fire resistance; polished</t>
  </si>
  <si>
    <t>'maintenance/plant room door; lockable; fire-rated</t>
  </si>
  <si>
    <t xml:space="preserve">INTENAL FINISHES </t>
  </si>
  <si>
    <t>Finish to walls; Vinyl matt emulsion to all floors.</t>
  </si>
  <si>
    <t>Painting to plasterboard surfaces, 1 mist coat and 2 top coats</t>
  </si>
  <si>
    <t>Floor Finishes</t>
  </si>
  <si>
    <t>Entrance mats and matwells</t>
  </si>
  <si>
    <t xml:space="preserve">pro rata </t>
  </si>
  <si>
    <t>Self-levelling screed</t>
  </si>
  <si>
    <t>Vinyl sheet flooring</t>
  </si>
  <si>
    <t>Heavy duty vinyl to circulation areas, including</t>
  </si>
  <si>
    <t xml:space="preserve">Ceilings </t>
  </si>
  <si>
    <t>3.3.1</t>
  </si>
  <si>
    <t>Suspended perforated metal tiled ceiling</t>
  </si>
  <si>
    <t>FITTINGS AND FURNISHINGS</t>
  </si>
  <si>
    <t>General fittings, furnishings and equipment</t>
  </si>
  <si>
    <t>4.1.1</t>
  </si>
  <si>
    <t>Allowance for miscellaneous fixtures and fittings, reception desk, kitchenettes, copy stations, whiteboards etc</t>
  </si>
  <si>
    <t>Prov Sum</t>
  </si>
  <si>
    <t>studio/workshop – less than 500 seats( Theatre)</t>
  </si>
  <si>
    <t xml:space="preserve">Prov Sum </t>
  </si>
  <si>
    <t xml:space="preserve">Specialist Installations- light Sculpture </t>
  </si>
  <si>
    <t>4.1.2</t>
  </si>
  <si>
    <t>Blinds</t>
  </si>
  <si>
    <t>prov Sum</t>
  </si>
  <si>
    <t>4.1.3</t>
  </si>
  <si>
    <t>Audio visual installation, to lecture theatre,
meeting rooms, communal spaces</t>
  </si>
  <si>
    <t>4.1.4</t>
  </si>
  <si>
    <t>Allowance for signage, statutory, directional and
external building signage</t>
  </si>
  <si>
    <t xml:space="preserve">Works of Art </t>
  </si>
  <si>
    <t>prov sum</t>
  </si>
  <si>
    <t>4.1.5</t>
  </si>
  <si>
    <t>Non mechanical and electrical equipment.</t>
  </si>
  <si>
    <t>Specialist mechanical and electrical equipment- workshops, kilns etc</t>
  </si>
  <si>
    <t>4.1.6</t>
  </si>
  <si>
    <t>Internal planting</t>
  </si>
  <si>
    <t>SERVICES</t>
  </si>
  <si>
    <t xml:space="preserve">Sanitary installations </t>
  </si>
  <si>
    <t>5.1..1</t>
  </si>
  <si>
    <t>WC sanitary ware and cubicles performing arts building (medium specification)</t>
  </si>
  <si>
    <t>Hand dryers</t>
  </si>
  <si>
    <t>Disabled WC suite including all sanitary and fittings</t>
  </si>
  <si>
    <t>Equipment for shower rooms; including disabled
person equipment</t>
  </si>
  <si>
    <t>LTHW underfloor heating</t>
  </si>
  <si>
    <t>Services Equipment</t>
  </si>
  <si>
    <t>5.2.1</t>
  </si>
  <si>
    <t>Waste, soil and vent installation; uPVC pipework and
fittings</t>
  </si>
  <si>
    <t>Hot and cold water supply to WCs</t>
  </si>
  <si>
    <t>Disposal Installations</t>
  </si>
  <si>
    <t>Rainwater disposal installation including gullies
and downpipes</t>
  </si>
  <si>
    <t>Rainwater installation</t>
  </si>
  <si>
    <t>Water installations</t>
  </si>
  <si>
    <t>5.4.1</t>
  </si>
  <si>
    <t xml:space="preserve">Incoming mains and domestic cold water system included in facilitating works </t>
  </si>
  <si>
    <t>Heat source</t>
  </si>
  <si>
    <t>5.5.1</t>
  </si>
  <si>
    <t>Air handling units, chillers; ductwork, pipework,
insulation</t>
  </si>
  <si>
    <t>Toilet extract ventilation</t>
  </si>
  <si>
    <t>Cooling and ventilation installations to common areas</t>
  </si>
  <si>
    <t>pro rata</t>
  </si>
  <si>
    <t>Ground source heat pump installation, including
boreholes, pipework and all associated plant</t>
  </si>
  <si>
    <t xml:space="preserve">Pro rata </t>
  </si>
  <si>
    <t xml:space="preserve">Space Heating and air conditioning </t>
  </si>
  <si>
    <t>5.6.1.</t>
  </si>
  <si>
    <t>Chilled water system including air cooled chillers,
plantroom installation, distribution pipework, fan
coil units and chilled beams</t>
  </si>
  <si>
    <t>DX cooling to IT rooms</t>
  </si>
  <si>
    <t>Ventilation Installations</t>
  </si>
  <si>
    <t>5.7.1</t>
  </si>
  <si>
    <t>Ventilation extraction to toilet areas</t>
  </si>
  <si>
    <t>Electrical installations</t>
  </si>
  <si>
    <t>Mains incoming included in facilitating works</t>
  </si>
  <si>
    <t>Photovoltaic installation including inverters</t>
  </si>
  <si>
    <t>Power &amp; Data distribution Installations</t>
  </si>
  <si>
    <t>Allowance for external lighting</t>
  </si>
  <si>
    <t>£40000,00</t>
  </si>
  <si>
    <t xml:space="preserve">Lift and conveyor installations </t>
  </si>
  <si>
    <t>5.10.1</t>
  </si>
  <si>
    <t>Passenger lift</t>
  </si>
  <si>
    <t>Fire and lighting protection</t>
  </si>
  <si>
    <t>5.11.1</t>
  </si>
  <si>
    <t>Dry riser installation</t>
  </si>
  <si>
    <t>Lightning protection</t>
  </si>
  <si>
    <t>Communications, Security and Control Systems</t>
  </si>
  <si>
    <t>5.12.1</t>
  </si>
  <si>
    <t>Fire alarm and detection system</t>
  </si>
  <si>
    <t>Data installation, category 6 wiring</t>
  </si>
  <si>
    <t xml:space="preserve">Allowance for disabled induction loops, disabled
refuge and alarm system </t>
  </si>
  <si>
    <t>Pro rata</t>
  </si>
  <si>
    <t>Security system; access control</t>
  </si>
  <si>
    <t>Security system; intruder alarm system</t>
  </si>
  <si>
    <t>Security system; CCTV system</t>
  </si>
  <si>
    <t>Building management system</t>
  </si>
  <si>
    <t>Specialist installations</t>
  </si>
  <si>
    <t>5.13.1</t>
  </si>
  <si>
    <t>Allowance for process chilled water system,
complete with distribution pipework</t>
  </si>
  <si>
    <t>EXTERNAL WORKS</t>
  </si>
  <si>
    <t xml:space="preserve">Hard and soft landscaping </t>
  </si>
  <si>
    <t>Grassed/planted areas</t>
  </si>
  <si>
    <t>Car parking and access road</t>
  </si>
  <si>
    <t>Standard kerbs</t>
  </si>
  <si>
    <t>Road markings</t>
  </si>
  <si>
    <t>Item</t>
  </si>
  <si>
    <t>Paving to pedestrian areas</t>
  </si>
  <si>
    <t>Stainless steel bollards</t>
  </si>
  <si>
    <t xml:space="preserve">Perimeter fencing 2.4 m high </t>
  </si>
  <si>
    <t>8.3.2</t>
  </si>
  <si>
    <t>8.3.2 External Plantin</t>
  </si>
  <si>
    <t>Prov sum</t>
  </si>
  <si>
    <t>Trees</t>
  </si>
  <si>
    <t xml:space="preserve">Contingency fund </t>
  </si>
  <si>
    <t>MAIN CONTRACTOR'S PRELIMINARIES</t>
  </si>
  <si>
    <t>Testing and commissioning</t>
  </si>
  <si>
    <t>0HP</t>
  </si>
  <si>
    <t xml:space="preserve">12 % of the overall build cost </t>
  </si>
  <si>
    <t>%</t>
  </si>
  <si>
    <t xml:space="preserve">Waste Costs </t>
  </si>
  <si>
    <t xml:space="preserve">10% of the overall build cost </t>
  </si>
  <si>
    <t xml:space="preserve">Maintinance Costs </t>
  </si>
  <si>
    <t xml:space="preserve">5% of the overall build cost </t>
  </si>
  <si>
    <t>Whole Life Costing</t>
  </si>
  <si>
    <t>10% of the overall cost</t>
  </si>
  <si>
    <t xml:space="preserve">Total to 'Summary </t>
  </si>
  <si>
    <t xml:space="preserve">Forecast Cash Flow </t>
  </si>
  <si>
    <t xml:space="preserve">*Excludes Maintanence and LLC costing </t>
  </si>
  <si>
    <t xml:space="preserve">*5% rentention not included, to be added </t>
  </si>
  <si>
    <t>Q1 2025</t>
  </si>
  <si>
    <t>Q2 2025</t>
  </si>
  <si>
    <t>Q3 2025</t>
  </si>
  <si>
    <t>Q4 2025</t>
  </si>
  <si>
    <t>Q1 2026</t>
  </si>
  <si>
    <t>Q2 2026</t>
  </si>
  <si>
    <t>Q3 2026</t>
  </si>
  <si>
    <t xml:space="preserve">Item Description </t>
  </si>
  <si>
    <t xml:space="preserve">Total Amount Due </t>
  </si>
  <si>
    <t xml:space="preserve">Jan-March </t>
  </si>
  <si>
    <t>April-June</t>
  </si>
  <si>
    <t>July-Sept</t>
  </si>
  <si>
    <t>Oct-Dec</t>
  </si>
  <si>
    <t>PROJECT CONSTRAINTS</t>
  </si>
  <si>
    <t>RISK ALLOWANCE</t>
  </si>
  <si>
    <t>WASTE COST</t>
  </si>
  <si>
    <t xml:space="preserve">Monthly Contributions </t>
  </si>
  <si>
    <t>Total Monthly Payments</t>
  </si>
  <si>
    <t xml:space="preserve">Monthly Estimated Interim Payments </t>
  </si>
  <si>
    <t>Totals</t>
  </si>
  <si>
    <t xml:space="preserve">x4 Monthly Payments </t>
  </si>
  <si>
    <t xml:space="preserve">Clients Contribution Estimated Interim Payments </t>
  </si>
  <si>
    <t xml:space="preserve">Minus 5% Retention </t>
  </si>
  <si>
    <t>OPTION 1 (Concept Design)</t>
  </si>
  <si>
    <t>OPTION 2</t>
  </si>
  <si>
    <t>OPTION 3</t>
  </si>
  <si>
    <t xml:space="preserve">Item </t>
  </si>
  <si>
    <t xml:space="preserve">Material Description </t>
  </si>
  <si>
    <t>Qty/m2</t>
  </si>
  <si>
    <t>Cost/  unit</t>
  </si>
  <si>
    <t>Total</t>
  </si>
  <si>
    <t>Qty</t>
  </si>
  <si>
    <t xml:space="preserve">FOUNDATION </t>
  </si>
  <si>
    <t>Strip Foundations with200mm concrete slab</t>
  </si>
  <si>
    <t>Piled foundations; RC ground bearing slab 200mm</t>
  </si>
  <si>
    <t>Concrete pad foundations</t>
  </si>
  <si>
    <t xml:space="preserve">FRAME </t>
  </si>
  <si>
    <t xml:space="preserve">Timber </t>
  </si>
  <si>
    <t xml:space="preserve">Steel frame </t>
  </si>
  <si>
    <t>Concrete frame 300 mm × 600 mm</t>
  </si>
  <si>
    <t>INTERNAL WALLS</t>
  </si>
  <si>
    <t xml:space="preserve">Timber Stud Partion </t>
  </si>
  <si>
    <t xml:space="preserve">Metal stud partion </t>
  </si>
  <si>
    <t>Concrete partitions
Reinforced concrete walls; C25 strength150mm thick</t>
  </si>
  <si>
    <t>ROOF</t>
  </si>
  <si>
    <t>Landscaped DPM</t>
  </si>
  <si>
    <t>Kalzip embossed aluminium standing seam roof</t>
  </si>
  <si>
    <t>Reinforced concrete roof slab; 300 mm thick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</si>
</sst>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quot;£&quot;* #,##0.00_-;\-&quot;£&quot;* #,##0.00_-;_-&quot;£&quot;* &quot;-&quot;??_-;_-@_-"/>
    <numFmt numFmtId="165" formatCode="_-* #,##0.00_-;\-* #,##0.00_-;_-* &quot;-&quot;??_-;_-@_-"/>
    <numFmt numFmtId="166" formatCode="0.0"/>
    <numFmt numFmtId="167" formatCode="[$-F800]dddd\,\ mmmm\ dd\,\ yyyy"/>
    <numFmt numFmtId="168" formatCode="00"/>
    <numFmt numFmtId="169" formatCode="&quot;£&quot;#,##0"/>
    <numFmt numFmtId="170" formatCode="&quot;£&quot;#,##0.00"/>
    <numFmt numFmtId="171" formatCode="0.000"/>
    <numFmt numFmtId="172" formatCode="0.00000"/>
  </numFmts>
  <fonts count="67">
    <font>
      <sz val="11"/>
      <color theme="1"/>
      <name val="Calibri"/>
      <family val="2"/>
      <scheme val="minor"/>
    </font>
    <font>
      <sz val="10"/>
      <color rgb="FF000000"/>
      <name val="Times New Roman"/>
      <family val="1"/>
    </font>
    <font>
      <sz val="10"/>
      <name val="Arial"/>
      <family val="2"/>
    </font>
    <font>
      <b/>
      <sz val="10"/>
      <name val="Arial"/>
      <family val="2"/>
    </font>
    <font>
      <sz val="11"/>
      <color theme="1"/>
      <name val="Calibri"/>
      <family val="2"/>
      <scheme val="minor"/>
    </font>
    <font>
      <sz val="10"/>
      <name val="Times New Roman"/>
      <family val="1"/>
      <charset val="204"/>
    </font>
    <font>
      <sz val="10"/>
      <color rgb="FFFF0000"/>
      <name val="Arial"/>
      <family val="2"/>
    </font>
    <font>
      <sz val="10"/>
      <color rgb="FF004494"/>
      <name val="Arial"/>
      <family val="2"/>
    </font>
    <font>
      <sz val="10"/>
      <name val="MS Sans Serif"/>
      <family val="2"/>
    </font>
    <font>
      <b/>
      <sz val="17"/>
      <color rgb="FF0091CF"/>
      <name val="Arial"/>
      <family val="2"/>
    </font>
    <font>
      <sz val="11"/>
      <name val="Arial"/>
      <family val="2"/>
    </font>
    <font>
      <b/>
      <sz val="11"/>
      <color theme="0"/>
      <name val="Arial"/>
      <family val="2"/>
    </font>
    <font>
      <b/>
      <sz val="11"/>
      <name val="Arial"/>
      <family val="2"/>
    </font>
    <font>
      <sz val="12"/>
      <name val="Arial"/>
      <family val="2"/>
    </font>
    <font>
      <b/>
      <sz val="12"/>
      <name val="Arial"/>
      <family val="2"/>
    </font>
    <font>
      <b/>
      <u/>
      <sz val="11"/>
      <name val="Arial"/>
      <family val="2"/>
    </font>
    <font>
      <b/>
      <sz val="11"/>
      <color rgb="FF004494"/>
      <name val="Arial"/>
      <family val="2"/>
    </font>
    <font>
      <sz val="10"/>
      <name val="Calibri"/>
      <family val="2"/>
    </font>
    <font>
      <sz val="11"/>
      <color theme="1"/>
      <name val="Calibri"/>
      <family val="2"/>
    </font>
    <font>
      <b/>
      <u/>
      <sz val="11"/>
      <color theme="1"/>
      <name val="Calibri"/>
      <family val="2"/>
    </font>
    <font>
      <b/>
      <sz val="10"/>
      <name val="Times New Roman"/>
      <family val="1"/>
    </font>
    <font>
      <b/>
      <u/>
      <sz val="17"/>
      <color rgb="FF004194"/>
      <name val="Arial"/>
      <family val="2"/>
    </font>
    <font>
      <sz val="17"/>
      <name val="Arial"/>
      <family val="2"/>
    </font>
    <font>
      <b/>
      <sz val="10"/>
      <color theme="1"/>
      <name val="Arial"/>
      <family val="2"/>
    </font>
    <font>
      <sz val="10"/>
      <color theme="1"/>
      <name val="Arial"/>
      <family val="2"/>
    </font>
    <font>
      <sz val="10"/>
      <color theme="1"/>
      <name val="Calibri"/>
      <family val="2"/>
      <scheme val="minor"/>
    </font>
    <font>
      <sz val="10"/>
      <name val="Times New Roman"/>
      <family val="1"/>
    </font>
    <font>
      <b/>
      <u/>
      <sz val="12"/>
      <name val="Times New Roman"/>
      <family val="1"/>
    </font>
    <font>
      <sz val="17"/>
      <color rgb="FF0091CF"/>
      <name val="Arial"/>
      <family val="2"/>
    </font>
    <font>
      <b/>
      <u/>
      <sz val="10"/>
      <name val="Times New Roman"/>
      <family val="1"/>
    </font>
    <font>
      <i/>
      <sz val="10"/>
      <color rgb="FFFF0000"/>
      <name val="Arial"/>
      <family val="2"/>
    </font>
    <font>
      <b/>
      <sz val="10"/>
      <color rgb="FFFF0000"/>
      <name val="Arial"/>
      <family val="2"/>
    </font>
    <font>
      <u val="double"/>
      <sz val="10"/>
      <name val="Arial"/>
      <family val="2"/>
    </font>
    <font>
      <u val="double"/>
      <sz val="10"/>
      <color theme="1"/>
      <name val="Arial"/>
      <family val="2"/>
    </font>
    <font>
      <b/>
      <i/>
      <sz val="10"/>
      <color theme="1"/>
      <name val="Arial"/>
      <family val="2"/>
    </font>
    <font>
      <b/>
      <sz val="11"/>
      <color theme="1"/>
      <name val="Calibri"/>
      <family val="2"/>
    </font>
    <font>
      <b/>
      <sz val="10"/>
      <name val="Times New Roman"/>
      <family val="1"/>
      <charset val="204"/>
    </font>
    <font>
      <b/>
      <sz val="10"/>
      <color theme="1"/>
      <name val="Calibri"/>
      <family val="2"/>
      <scheme val="minor"/>
    </font>
    <font>
      <b/>
      <vertAlign val="superscript"/>
      <sz val="10"/>
      <color theme="1"/>
      <name val="Calibri"/>
      <family val="2"/>
      <scheme val="minor"/>
    </font>
    <font>
      <b/>
      <sz val="10"/>
      <name val="Arial"/>
      <family val="1"/>
      <charset val="204"/>
    </font>
    <font>
      <b/>
      <sz val="10"/>
      <color theme="1"/>
      <name val="Times New Roman"/>
      <family val="1"/>
    </font>
    <font>
      <sz val="10"/>
      <color theme="1"/>
      <name val="Times New Roman"/>
      <family val="1"/>
    </font>
    <font>
      <sz val="10"/>
      <color indexed="8"/>
      <name val="Times New Roman"/>
      <family val="1"/>
    </font>
    <font>
      <sz val="8"/>
      <name val="Calibri"/>
      <family val="2"/>
      <scheme val="minor"/>
    </font>
    <font>
      <u/>
      <sz val="10"/>
      <color theme="1"/>
      <name val="Arial"/>
      <family val="2"/>
    </font>
    <font>
      <i/>
      <sz val="10"/>
      <color theme="1"/>
      <name val="Arial"/>
      <family val="2"/>
    </font>
    <font>
      <b/>
      <sz val="10"/>
      <color indexed="56"/>
      <name val="Arial"/>
      <family val="1"/>
      <charset val="204"/>
    </font>
    <font>
      <sz val="14"/>
      <color rgb="FF000000"/>
      <name val="Times"/>
    </font>
    <font>
      <b/>
      <sz val="10"/>
      <color rgb="FF000000"/>
      <name val="Times New Roman"/>
      <family val="1"/>
    </font>
    <font>
      <b/>
      <vertAlign val="superscript"/>
      <sz val="10"/>
      <color rgb="FF000000"/>
      <name val="Times New Roman"/>
      <family val="1"/>
    </font>
    <font>
      <b/>
      <u/>
      <sz val="10"/>
      <color theme="1"/>
      <name val="Arial"/>
      <family val="2"/>
    </font>
    <font>
      <sz val="10"/>
      <color rgb="FF000000"/>
      <name val="Arial"/>
      <family val="2"/>
    </font>
    <font>
      <b/>
      <sz val="10"/>
      <color rgb="FF000000"/>
      <name val="Arial"/>
      <family val="2"/>
    </font>
    <font>
      <b/>
      <u/>
      <sz val="10"/>
      <color rgb="FF000000"/>
      <name val="Arial"/>
      <family val="2"/>
    </font>
    <font>
      <u/>
      <sz val="10"/>
      <name val="Times New Roman"/>
      <family val="1"/>
    </font>
    <font>
      <b/>
      <u/>
      <sz val="11"/>
      <color theme="1"/>
      <name val="Calibri"/>
      <family val="2"/>
      <scheme val="minor"/>
    </font>
    <font>
      <u/>
      <sz val="11"/>
      <color theme="1"/>
      <name val="Calibri"/>
      <family val="2"/>
      <scheme val="minor"/>
    </font>
    <font>
      <b/>
      <u/>
      <sz val="10"/>
      <name val="Arial"/>
      <family val="2"/>
    </font>
    <font>
      <b/>
      <sz val="11"/>
      <color theme="1"/>
      <name val="Calibri"/>
      <family val="2"/>
      <scheme val="minor"/>
    </font>
    <font>
      <sz val="11"/>
      <color theme="1"/>
      <name val="Arial"/>
      <family val="2"/>
    </font>
    <font>
      <i/>
      <u val="double"/>
      <sz val="10"/>
      <color rgb="FFFF0000"/>
      <name val="Arial"/>
      <family val="2"/>
    </font>
    <font>
      <b/>
      <i/>
      <sz val="10"/>
      <name val="Arial"/>
      <family val="2"/>
    </font>
    <font>
      <b/>
      <u/>
      <sz val="11"/>
      <color theme="1"/>
      <name val="Arial"/>
      <family val="2"/>
    </font>
    <font>
      <b/>
      <sz val="11"/>
      <color theme="1"/>
      <name val="Arial"/>
      <family val="2"/>
    </font>
    <font>
      <b/>
      <u/>
      <sz val="16"/>
      <color theme="1"/>
      <name val="Calibri"/>
      <family val="2"/>
      <scheme val="minor"/>
    </font>
    <font>
      <b/>
      <u/>
      <sz val="15"/>
      <color theme="1"/>
      <name val="Arial"/>
      <family val="2"/>
    </font>
    <font>
      <b/>
      <u val="singleAccounting"/>
      <sz val="11"/>
      <color theme="1"/>
      <name val="Calibri"/>
      <family val="2"/>
      <scheme val="minor"/>
    </font>
  </fonts>
  <fills count="19">
    <fill>
      <patternFill patternType="none"/>
    </fill>
    <fill>
      <patternFill patternType="gray125"/>
    </fill>
    <fill>
      <patternFill patternType="solid">
        <fgColor rgb="FFD9F1FF"/>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rgb="FFB2B2B2"/>
        <bgColor indexed="64"/>
      </patternFill>
    </fill>
    <fill>
      <patternFill patternType="solid">
        <fgColor rgb="FFFF99FF"/>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rgb="FFBDD7EE"/>
        <bgColor indexed="64"/>
      </patternFill>
    </fill>
    <fill>
      <patternFill patternType="solid">
        <fgColor rgb="FFFFCCCC"/>
        <bgColor indexed="64"/>
      </patternFill>
    </fill>
    <fill>
      <patternFill patternType="solid">
        <fgColor rgb="FFCCFF99"/>
        <bgColor indexed="64"/>
      </patternFill>
    </fill>
    <fill>
      <patternFill patternType="solid">
        <fgColor rgb="FF9999FF"/>
        <bgColor indexed="64"/>
      </patternFill>
    </fill>
    <fill>
      <patternFill patternType="solid">
        <fgColor rgb="FFFFCC66"/>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s>
  <borders count="100">
    <border>
      <left/>
      <right/>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hair">
        <color indexed="64"/>
      </right>
      <top/>
      <bottom/>
      <diagonal/>
    </border>
    <border>
      <left style="hair">
        <color auto="1"/>
      </left>
      <right style="hair">
        <color auto="1"/>
      </right>
      <top/>
      <bottom/>
      <diagonal/>
    </border>
    <border>
      <left style="hair">
        <color auto="1"/>
      </left>
      <right/>
      <top/>
      <bottom/>
      <diagonal/>
    </border>
    <border>
      <left/>
      <right/>
      <top style="hair">
        <color auto="1"/>
      </top>
      <bottom/>
      <diagonal/>
    </border>
    <border>
      <left style="hair">
        <color auto="1"/>
      </left>
      <right/>
      <top style="hair">
        <color auto="1"/>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hair">
        <color auto="1"/>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hair">
        <color auto="1"/>
      </right>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auto="1"/>
      </right>
      <top style="thin">
        <color indexed="64"/>
      </top>
      <bottom style="thin">
        <color indexed="64"/>
      </bottom>
      <diagonal/>
    </border>
    <border>
      <left/>
      <right/>
      <top style="thin">
        <color indexed="64"/>
      </top>
      <bottom style="thin">
        <color indexed="64"/>
      </bottom>
      <diagonal/>
    </border>
    <border>
      <left style="hair">
        <color auto="1"/>
      </left>
      <right style="hair">
        <color auto="1"/>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style="hair">
        <color auto="1"/>
      </top>
      <bottom/>
      <diagonal/>
    </border>
    <border>
      <left style="thin">
        <color indexed="64"/>
      </left>
      <right style="medium">
        <color indexed="64"/>
      </right>
      <top/>
      <bottom style="medium">
        <color indexed="64"/>
      </bottom>
      <diagonal/>
    </border>
    <border>
      <left style="thin">
        <color indexed="64"/>
      </left>
      <right style="thin">
        <color indexed="64"/>
      </right>
      <top style="thin">
        <color rgb="FF000000"/>
      </top>
      <bottom style="double">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style="hair">
        <color indexed="64"/>
      </right>
      <top/>
      <bottom/>
      <diagonal/>
    </border>
    <border>
      <left style="thin">
        <color rgb="FF000000"/>
      </left>
      <right style="thin">
        <color indexed="64"/>
      </right>
      <top style="thin">
        <color indexed="64"/>
      </top>
      <bottom style="double">
        <color indexed="64"/>
      </bottom>
      <diagonal/>
    </border>
    <border>
      <left style="thin">
        <color rgb="FF000000"/>
      </left>
      <right style="thin">
        <color rgb="FF000000"/>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double">
        <color indexed="64"/>
      </top>
      <bottom/>
      <diagonal/>
    </border>
    <border>
      <left style="thin">
        <color indexed="64"/>
      </left>
      <right style="medium">
        <color indexed="64"/>
      </right>
      <top/>
      <bottom style="thin">
        <color indexed="64"/>
      </bottom>
      <diagonal/>
    </border>
    <border>
      <left/>
      <right/>
      <top style="thin">
        <color auto="1"/>
      </top>
      <bottom/>
      <diagonal/>
    </border>
    <border>
      <left/>
      <right/>
      <top/>
      <bottom style="thin">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indexed="64"/>
      </bottom>
      <diagonal/>
    </border>
    <border>
      <left style="thin">
        <color indexed="64"/>
      </left>
      <right style="thin">
        <color rgb="FF000000"/>
      </right>
      <top/>
      <bottom/>
      <diagonal/>
    </border>
    <border>
      <left style="thin">
        <color rgb="FF000000"/>
      </left>
      <right style="thin">
        <color rgb="FF000000"/>
      </right>
      <top style="thin">
        <color indexed="64"/>
      </top>
      <bottom style="double">
        <color indexed="64"/>
      </bottom>
      <diagonal/>
    </border>
    <border>
      <left/>
      <right style="thin">
        <color rgb="FF000000"/>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thin">
        <color theme="0" tint="-0.14996795556505021"/>
      </bottom>
      <diagonal/>
    </border>
    <border>
      <left style="thin">
        <color indexed="64"/>
      </left>
      <right style="thin">
        <color indexed="64"/>
      </right>
      <top style="thin">
        <color theme="0" tint="-0.14996795556505021"/>
      </top>
      <bottom style="thin">
        <color theme="0" tint="-0.14996795556505021"/>
      </bottom>
      <diagonal/>
    </border>
    <border>
      <left style="thin">
        <color indexed="64"/>
      </left>
      <right style="medium">
        <color indexed="64"/>
      </right>
      <top style="thin">
        <color theme="0" tint="-0.14996795556505021"/>
      </top>
      <bottom style="thin">
        <color theme="0" tint="-0.14996795556505021"/>
      </bottom>
      <diagonal/>
    </border>
    <border>
      <left style="medium">
        <color indexed="64"/>
      </left>
      <right/>
      <top/>
      <bottom style="thin">
        <color theme="0" tint="-0.14996795556505021"/>
      </bottom>
      <diagonal/>
    </border>
    <border>
      <left style="medium">
        <color indexed="64"/>
      </left>
      <right/>
      <top style="thin">
        <color theme="0" tint="-0.14996795556505021"/>
      </top>
      <bottom style="thin">
        <color theme="0" tint="-0.14996795556505021"/>
      </bottom>
      <diagonal/>
    </border>
    <border>
      <left style="medium">
        <color indexed="64"/>
      </left>
      <right/>
      <top style="thin">
        <color theme="0" tint="-0.14996795556505021"/>
      </top>
      <bottom style="medium">
        <color indexed="64"/>
      </bottom>
      <diagonal/>
    </border>
    <border>
      <left/>
      <right/>
      <top/>
      <bottom style="thin">
        <color theme="0" tint="-0.14996795556505021"/>
      </bottom>
      <diagonal/>
    </border>
    <border>
      <left/>
      <right/>
      <top style="thin">
        <color theme="0" tint="-0.14996795556505021"/>
      </top>
      <bottom style="thin">
        <color theme="0" tint="-0.14996795556505021"/>
      </bottom>
      <diagonal/>
    </border>
    <border>
      <left style="medium">
        <color indexed="64"/>
      </left>
      <right style="medium">
        <color indexed="64"/>
      </right>
      <top/>
      <bottom style="thin">
        <color theme="0" tint="-0.14996795556505021"/>
      </bottom>
      <diagonal/>
    </border>
    <border>
      <left style="medium">
        <color indexed="64"/>
      </left>
      <right style="medium">
        <color indexed="64"/>
      </right>
      <top style="thin">
        <color theme="0" tint="-0.14996795556505021"/>
      </top>
      <bottom style="thin">
        <color theme="0" tint="-0.14996795556505021"/>
      </bottom>
      <diagonal/>
    </border>
    <border>
      <left style="medium">
        <color indexed="64"/>
      </left>
      <right style="medium">
        <color indexed="64"/>
      </right>
      <top style="thin">
        <color theme="0" tint="-0.14996795556505021"/>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theme="0" tint="-0.14996795556505021"/>
      </bottom>
      <diagonal/>
    </border>
    <border>
      <left style="thin">
        <color indexed="64"/>
      </left>
      <right/>
      <top style="thin">
        <color theme="0" tint="-0.14996795556505021"/>
      </top>
      <bottom style="thin">
        <color theme="0" tint="-0.14996795556505021"/>
      </bottom>
      <diagonal/>
    </border>
    <border>
      <left style="thin">
        <color indexed="64"/>
      </left>
      <right/>
      <top style="thin">
        <color theme="0" tint="-0.14996795556505021"/>
      </top>
      <bottom style="medium">
        <color indexed="64"/>
      </bottom>
      <diagonal/>
    </border>
    <border>
      <left style="thin">
        <color indexed="64"/>
      </left>
      <right style="medium">
        <color indexed="64"/>
      </right>
      <top style="thin">
        <color theme="0" tint="-0.14996795556505021"/>
      </top>
      <bottom/>
      <diagonal/>
    </border>
    <border>
      <left style="medium">
        <color indexed="64"/>
      </left>
      <right style="medium">
        <color indexed="64"/>
      </right>
      <top style="thin">
        <color theme="0" tint="-0.14996795556505021"/>
      </top>
      <bottom/>
      <diagonal/>
    </border>
    <border>
      <left/>
      <right/>
      <top style="thin">
        <color indexed="64"/>
      </top>
      <bottom style="double">
        <color indexed="64"/>
      </bottom>
      <diagonal/>
    </border>
    <border>
      <left style="medium">
        <color indexed="64"/>
      </left>
      <right style="thin">
        <color indexed="64"/>
      </right>
      <top style="medium">
        <color indexed="64"/>
      </top>
      <bottom style="thin">
        <color theme="0" tint="-0.14996795556505021"/>
      </bottom>
      <diagonal/>
    </border>
    <border>
      <left style="thin">
        <color indexed="64"/>
      </left>
      <right style="thin">
        <color indexed="64"/>
      </right>
      <top style="medium">
        <color indexed="64"/>
      </top>
      <bottom style="thin">
        <color theme="0" tint="-0.14996795556505021"/>
      </bottom>
      <diagonal/>
    </border>
    <border>
      <left style="thin">
        <color indexed="64"/>
      </left>
      <right style="medium">
        <color indexed="64"/>
      </right>
      <top style="medium">
        <color indexed="64"/>
      </top>
      <bottom style="thin">
        <color theme="0" tint="-0.14996795556505021"/>
      </bottom>
      <diagonal/>
    </border>
    <border>
      <left style="medium">
        <color indexed="64"/>
      </left>
      <right style="thin">
        <color indexed="64"/>
      </right>
      <top style="thin">
        <color theme="0" tint="-0.14996795556505021"/>
      </top>
      <bottom style="thin">
        <color theme="0" tint="-0.14996795556505021"/>
      </bottom>
      <diagonal/>
    </border>
    <border>
      <left style="medium">
        <color indexed="64"/>
      </left>
      <right style="medium">
        <color indexed="64"/>
      </right>
      <top style="medium">
        <color indexed="64"/>
      </top>
      <bottom style="thin">
        <color theme="0" tint="-0.14996795556505021"/>
      </bottom>
      <diagonal/>
    </border>
    <border>
      <left style="medium">
        <color indexed="64"/>
      </left>
      <right style="thin">
        <color indexed="64"/>
      </right>
      <top style="thin">
        <color theme="0" tint="-0.14996795556505021"/>
      </top>
      <bottom style="thin">
        <color indexed="64"/>
      </bottom>
      <diagonal/>
    </border>
    <border>
      <left style="thin">
        <color indexed="64"/>
      </left>
      <right style="thin">
        <color indexed="64"/>
      </right>
      <top style="thin">
        <color theme="0" tint="-0.14996795556505021"/>
      </top>
      <bottom style="thin">
        <color indexed="64"/>
      </bottom>
      <diagonal/>
    </border>
    <border>
      <left style="thin">
        <color indexed="64"/>
      </left>
      <right style="medium">
        <color indexed="64"/>
      </right>
      <top style="thin">
        <color theme="0" tint="-0.14996795556505021"/>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bottom style="medium">
        <color auto="1"/>
      </bottom>
      <diagonal/>
    </border>
    <border>
      <left style="thin">
        <color auto="1"/>
      </left>
      <right style="medium">
        <color auto="1"/>
      </right>
      <top style="medium">
        <color auto="1"/>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auto="1"/>
      </right>
      <top style="medium">
        <color auto="1"/>
      </top>
      <bottom/>
      <diagonal/>
    </border>
    <border>
      <left/>
      <right style="medium">
        <color auto="1"/>
      </right>
      <top/>
      <bottom/>
      <diagonal/>
    </border>
    <border>
      <left style="medium">
        <color auto="1"/>
      </left>
      <right style="medium">
        <color auto="1"/>
      </right>
      <top/>
      <bottom/>
      <diagonal/>
    </border>
    <border>
      <left style="medium">
        <color indexed="64"/>
      </left>
      <right style="thin">
        <color indexed="64"/>
      </right>
      <top/>
      <bottom/>
      <diagonal/>
    </border>
    <border>
      <left/>
      <right style="thin">
        <color indexed="64"/>
      </right>
      <top/>
      <bottom style="medium">
        <color indexed="64"/>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s>
  <cellStyleXfs count="12">
    <xf numFmtId="0" fontId="0" fillId="0" borderId="0"/>
    <xf numFmtId="0" fontId="1" fillId="0" borderId="0"/>
    <xf numFmtId="165" fontId="4" fillId="0" borderId="0" applyFont="0" applyFill="0" applyBorder="0" applyAlignment="0" applyProtection="0"/>
    <xf numFmtId="164" fontId="4" fillId="0" borderId="0" applyFont="0" applyFill="0" applyBorder="0" applyAlignment="0" applyProtection="0"/>
    <xf numFmtId="0" fontId="5" fillId="0" borderId="0" applyNumberFormat="0" applyFill="0" applyBorder="0" applyProtection="0">
      <alignment vertical="top" wrapText="1"/>
    </xf>
    <xf numFmtId="0" fontId="2" fillId="0" borderId="0"/>
    <xf numFmtId="0" fontId="8" fillId="0" borderId="0"/>
    <xf numFmtId="0" fontId="10" fillId="0" borderId="0"/>
    <xf numFmtId="0" fontId="4" fillId="0" borderId="0"/>
    <xf numFmtId="164" fontId="5" fillId="0" borderId="0" applyFont="0" applyFill="0" applyBorder="0" applyAlignment="0" applyProtection="0"/>
    <xf numFmtId="9" fontId="5" fillId="0" borderId="0" applyFont="0" applyFill="0" applyBorder="0" applyAlignment="0" applyProtection="0"/>
    <xf numFmtId="0" fontId="4" fillId="0" borderId="0"/>
  </cellStyleXfs>
  <cellXfs count="747">
    <xf numFmtId="0" fontId="0" fillId="0" borderId="0" xfId="0"/>
    <xf numFmtId="0" fontId="5" fillId="0" borderId="0" xfId="4">
      <alignment vertical="top" wrapText="1"/>
    </xf>
    <xf numFmtId="0" fontId="2" fillId="0" borderId="0" xfId="5"/>
    <xf numFmtId="0" fontId="6" fillId="0" borderId="0" xfId="5" applyFont="1"/>
    <xf numFmtId="167" fontId="6" fillId="0" borderId="0" xfId="5" applyNumberFormat="1" applyFont="1"/>
    <xf numFmtId="167" fontId="7" fillId="0" borderId="0" xfId="5" applyNumberFormat="1" applyFont="1"/>
    <xf numFmtId="49" fontId="9" fillId="0" borderId="0" xfId="6" applyNumberFormat="1" applyFont="1"/>
    <xf numFmtId="0" fontId="10" fillId="0" borderId="0" xfId="5" applyFont="1"/>
    <xf numFmtId="0" fontId="12" fillId="0" borderId="0" xfId="5" applyFont="1" applyAlignment="1">
      <alignment horizontal="left" vertical="top" indent="1"/>
    </xf>
    <xf numFmtId="0" fontId="12" fillId="2" borderId="4" xfId="5" applyFont="1" applyFill="1" applyBorder="1" applyAlignment="1">
      <alignment horizontal="center" vertical="top"/>
    </xf>
    <xf numFmtId="0" fontId="12" fillId="2" borderId="4" xfId="5" applyFont="1" applyFill="1" applyBorder="1" applyAlignment="1">
      <alignment horizontal="center" vertical="top" wrapText="1"/>
    </xf>
    <xf numFmtId="0" fontId="13" fillId="0" borderId="0" xfId="5" applyFont="1" applyAlignment="1">
      <alignment horizontal="center" vertical="center"/>
    </xf>
    <xf numFmtId="168" fontId="10" fillId="2" borderId="4" xfId="5" applyNumberFormat="1" applyFont="1" applyFill="1" applyBorder="1" applyAlignment="1">
      <alignment horizontal="center" vertical="center"/>
    </xf>
    <xf numFmtId="14" fontId="10" fillId="2" borderId="4" xfId="5" applyNumberFormat="1" applyFont="1" applyFill="1" applyBorder="1" applyAlignment="1">
      <alignment horizontal="center" vertical="center"/>
    </xf>
    <xf numFmtId="0" fontId="10" fillId="2" borderId="4" xfId="5" applyFont="1" applyFill="1" applyBorder="1" applyAlignment="1">
      <alignment horizontal="center" vertical="center" wrapText="1"/>
    </xf>
    <xf numFmtId="0" fontId="10" fillId="2" borderId="4" xfId="5" applyFont="1" applyFill="1" applyBorder="1" applyAlignment="1">
      <alignment horizontal="center" vertical="center"/>
    </xf>
    <xf numFmtId="0" fontId="13" fillId="0" borderId="0" xfId="5" applyFont="1" applyAlignment="1">
      <alignment vertical="center"/>
    </xf>
    <xf numFmtId="0" fontId="13" fillId="0" borderId="0" xfId="5" applyFont="1"/>
    <xf numFmtId="0" fontId="13" fillId="2" borderId="4" xfId="5" applyFont="1" applyFill="1" applyBorder="1" applyAlignment="1">
      <alignment horizontal="center"/>
    </xf>
    <xf numFmtId="0" fontId="14" fillId="2" borderId="4" xfId="5" applyFont="1" applyFill="1" applyBorder="1" applyAlignment="1">
      <alignment horizontal="center"/>
    </xf>
    <xf numFmtId="0" fontId="13" fillId="2" borderId="4" xfId="5" applyFont="1" applyFill="1" applyBorder="1" applyAlignment="1">
      <alignment horizontal="left" indent="1"/>
    </xf>
    <xf numFmtId="0" fontId="14" fillId="2" borderId="4" xfId="5" applyFont="1" applyFill="1" applyBorder="1" applyAlignment="1">
      <alignment horizontal="left" indent="1"/>
    </xf>
    <xf numFmtId="0" fontId="14" fillId="0" borderId="0" xfId="5" applyFont="1"/>
    <xf numFmtId="0" fontId="15" fillId="0" borderId="0" xfId="5" applyFont="1" applyAlignment="1">
      <alignment horizontal="left"/>
    </xf>
    <xf numFmtId="0" fontId="16" fillId="0" borderId="0" xfId="5" applyFont="1" applyAlignment="1">
      <alignment horizontal="left"/>
    </xf>
    <xf numFmtId="0" fontId="10" fillId="0" borderId="0" xfId="5" applyFont="1" applyAlignment="1">
      <alignment horizontal="left" wrapText="1"/>
    </xf>
    <xf numFmtId="0" fontId="10" fillId="0" borderId="0" xfId="5" applyFont="1" applyAlignment="1">
      <alignment wrapText="1"/>
    </xf>
    <xf numFmtId="0" fontId="10" fillId="0" borderId="0" xfId="7" applyAlignment="1">
      <alignment horizontal="left" wrapText="1"/>
    </xf>
    <xf numFmtId="0" fontId="15" fillId="0" borderId="0" xfId="5" applyFont="1" applyAlignment="1">
      <alignment wrapText="1"/>
    </xf>
    <xf numFmtId="0" fontId="16" fillId="0" borderId="0" xfId="5" applyFont="1" applyAlignment="1">
      <alignment wrapText="1"/>
    </xf>
    <xf numFmtId="0" fontId="13" fillId="0" borderId="0" xfId="5" applyFont="1" applyAlignment="1">
      <alignment wrapText="1"/>
    </xf>
    <xf numFmtId="0" fontId="13" fillId="0" borderId="0" xfId="5" applyFont="1" applyAlignment="1">
      <alignment horizontal="right" wrapText="1"/>
    </xf>
    <xf numFmtId="0" fontId="17" fillId="0" borderId="0" xfId="4" applyFont="1">
      <alignment vertical="top" wrapText="1"/>
    </xf>
    <xf numFmtId="0" fontId="18" fillId="0" borderId="0" xfId="8" applyFont="1" applyAlignment="1">
      <alignment vertical="top" wrapText="1"/>
    </xf>
    <xf numFmtId="0" fontId="19" fillId="0" borderId="0" xfId="8" applyFont="1" applyAlignment="1">
      <alignment vertical="top" wrapText="1"/>
    </xf>
    <xf numFmtId="0" fontId="18" fillId="0" borderId="0" xfId="8" applyFont="1" applyAlignment="1">
      <alignment horizontal="left" wrapText="1" indent="1"/>
    </xf>
    <xf numFmtId="0" fontId="18" fillId="0" borderId="0" xfId="8" applyFont="1" applyAlignment="1">
      <alignment horizontal="left" vertical="top" wrapText="1"/>
    </xf>
    <xf numFmtId="169" fontId="5" fillId="0" borderId="0" xfId="4" applyNumberFormat="1">
      <alignment vertical="top" wrapText="1"/>
    </xf>
    <xf numFmtId="164" fontId="25" fillId="0" borderId="0" xfId="9" applyFont="1" applyAlignment="1">
      <alignment vertical="top" wrapText="1"/>
    </xf>
    <xf numFmtId="4" fontId="5" fillId="0" borderId="0" xfId="4" applyNumberFormat="1">
      <alignment vertical="top" wrapText="1"/>
    </xf>
    <xf numFmtId="169" fontId="5" fillId="0" borderId="0" xfId="4" applyNumberFormat="1" applyAlignment="1">
      <alignment horizontal="left" vertical="top" wrapText="1"/>
    </xf>
    <xf numFmtId="4" fontId="5" fillId="0" borderId="0" xfId="4" applyNumberFormat="1" applyAlignment="1">
      <alignment horizontal="left" vertical="top" wrapText="1"/>
    </xf>
    <xf numFmtId="1" fontId="5" fillId="0" borderId="0" xfId="4" applyNumberFormat="1">
      <alignment vertical="top" wrapText="1"/>
    </xf>
    <xf numFmtId="0" fontId="5" fillId="0" borderId="8" xfId="4" applyBorder="1">
      <alignment vertical="top" wrapText="1"/>
    </xf>
    <xf numFmtId="169" fontId="5" fillId="0" borderId="10" xfId="4" applyNumberFormat="1" applyBorder="1">
      <alignment vertical="top" wrapText="1"/>
    </xf>
    <xf numFmtId="0" fontId="35" fillId="0" borderId="0" xfId="8" applyFont="1" applyAlignment="1">
      <alignment horizontal="left" vertical="top" wrapText="1"/>
    </xf>
    <xf numFmtId="0" fontId="36" fillId="0" borderId="0" xfId="4" applyFont="1">
      <alignment vertical="top" wrapText="1"/>
    </xf>
    <xf numFmtId="0" fontId="35" fillId="0" borderId="0" xfId="8" applyFont="1" applyAlignment="1">
      <alignment vertical="top" wrapText="1"/>
    </xf>
    <xf numFmtId="0" fontId="3" fillId="0" borderId="0" xfId="5" applyFont="1" applyAlignment="1">
      <alignment horizontal="left"/>
    </xf>
    <xf numFmtId="167" fontId="3" fillId="0" borderId="0" xfId="5" quotePrefix="1" applyNumberFormat="1" applyFont="1" applyAlignment="1">
      <alignment horizontal="left"/>
    </xf>
    <xf numFmtId="0" fontId="3" fillId="0" borderId="0" xfId="5" applyFont="1"/>
    <xf numFmtId="1" fontId="26" fillId="0" borderId="10" xfId="4" applyNumberFormat="1" applyFont="1" applyFill="1" applyBorder="1">
      <alignment vertical="top" wrapText="1"/>
    </xf>
    <xf numFmtId="169" fontId="26" fillId="0" borderId="14" xfId="4" applyNumberFormat="1" applyFont="1" applyFill="1" applyBorder="1">
      <alignment vertical="top" wrapText="1"/>
    </xf>
    <xf numFmtId="0" fontId="26" fillId="0" borderId="0" xfId="4" applyFont="1" applyFill="1" applyBorder="1">
      <alignment vertical="top" wrapText="1"/>
    </xf>
    <xf numFmtId="164" fontId="2" fillId="0" borderId="9" xfId="3" applyFont="1" applyFill="1" applyBorder="1" applyAlignment="1">
      <alignment wrapText="1"/>
    </xf>
    <xf numFmtId="0" fontId="5" fillId="0" borderId="0" xfId="4" applyFill="1">
      <alignment vertical="top" wrapText="1"/>
    </xf>
    <xf numFmtId="169" fontId="5" fillId="0" borderId="0" xfId="4" applyNumberFormat="1" applyFill="1">
      <alignment vertical="top" wrapText="1"/>
    </xf>
    <xf numFmtId="164" fontId="25" fillId="0" borderId="0" xfId="9" applyFont="1" applyFill="1" applyAlignment="1">
      <alignment vertical="top" wrapText="1"/>
    </xf>
    <xf numFmtId="4" fontId="5" fillId="0" borderId="0" xfId="4" applyNumberFormat="1" applyFill="1">
      <alignment vertical="top" wrapText="1"/>
    </xf>
    <xf numFmtId="0" fontId="20" fillId="0" borderId="0" xfId="4" applyFont="1" applyFill="1" applyAlignment="1">
      <alignment horizontal="left" vertical="top"/>
    </xf>
    <xf numFmtId="0" fontId="5" fillId="0" borderId="0" xfId="4" applyFill="1" applyAlignment="1">
      <alignment horizontal="left" vertical="top" wrapText="1"/>
    </xf>
    <xf numFmtId="169" fontId="5" fillId="0" borderId="0" xfId="4" applyNumberFormat="1" applyFill="1" applyBorder="1">
      <alignment vertical="top" wrapText="1"/>
    </xf>
    <xf numFmtId="164" fontId="25" fillId="0" borderId="0" xfId="9" applyFont="1" applyFill="1" applyBorder="1" applyAlignment="1">
      <alignment vertical="top" wrapText="1"/>
    </xf>
    <xf numFmtId="4" fontId="5" fillId="0" borderId="0" xfId="4" applyNumberFormat="1" applyFill="1" applyBorder="1">
      <alignment vertical="top" wrapText="1"/>
    </xf>
    <xf numFmtId="0" fontId="39" fillId="0" borderId="0" xfId="4" applyFont="1" applyFill="1" applyAlignment="1">
      <alignment horizontal="left" vertical="top"/>
    </xf>
    <xf numFmtId="0" fontId="36" fillId="0" borderId="0" xfId="4" applyFont="1" applyFill="1">
      <alignment vertical="top" wrapText="1"/>
    </xf>
    <xf numFmtId="0" fontId="20" fillId="0" borderId="0" xfId="4" applyFont="1" applyFill="1" applyBorder="1" applyAlignment="1">
      <alignment horizontal="left" vertical="top"/>
    </xf>
    <xf numFmtId="0" fontId="20" fillId="0" borderId="0" xfId="4" applyFont="1" applyFill="1" applyAlignment="1">
      <alignment vertical="top"/>
    </xf>
    <xf numFmtId="0" fontId="20" fillId="0" borderId="0" xfId="4" applyFont="1" applyFill="1">
      <alignment vertical="top" wrapText="1"/>
    </xf>
    <xf numFmtId="164" fontId="25" fillId="0" borderId="7" xfId="9" applyFont="1" applyFill="1" applyBorder="1" applyAlignment="1">
      <alignment vertical="top" wrapText="1"/>
    </xf>
    <xf numFmtId="0" fontId="20" fillId="0" borderId="5" xfId="4" applyFont="1" applyFill="1" applyBorder="1" applyAlignment="1">
      <alignment horizontal="left" vertical="top"/>
    </xf>
    <xf numFmtId="169" fontId="26" fillId="0" borderId="15" xfId="4" applyNumberFormat="1" applyFont="1" applyFill="1" applyBorder="1">
      <alignment vertical="top" wrapText="1"/>
    </xf>
    <xf numFmtId="4" fontId="5" fillId="0" borderId="11" xfId="4" applyNumberFormat="1" applyFill="1" applyBorder="1">
      <alignment vertical="top" wrapText="1"/>
    </xf>
    <xf numFmtId="0" fontId="26" fillId="0" borderId="5" xfId="4" applyFont="1" applyFill="1" applyBorder="1" applyAlignment="1">
      <alignment horizontal="left" vertical="top"/>
    </xf>
    <xf numFmtId="0" fontId="41" fillId="0" borderId="0" xfId="4" applyFont="1" applyFill="1" applyBorder="1">
      <alignment vertical="top" wrapText="1"/>
    </xf>
    <xf numFmtId="10" fontId="5" fillId="0" borderId="0" xfId="4" applyNumberFormat="1" applyFill="1">
      <alignment vertical="top" wrapText="1"/>
    </xf>
    <xf numFmtId="0" fontId="42" fillId="0" borderId="0" xfId="4" applyFont="1" applyFill="1" applyBorder="1">
      <alignment vertical="top" wrapText="1"/>
    </xf>
    <xf numFmtId="1" fontId="26" fillId="0" borderId="10" xfId="4" applyNumberFormat="1" applyFont="1" applyFill="1" applyBorder="1" applyAlignment="1">
      <alignment vertical="top"/>
    </xf>
    <xf numFmtId="0" fontId="26" fillId="0" borderId="10" xfId="4" applyFont="1" applyFill="1" applyBorder="1">
      <alignment vertical="top" wrapText="1"/>
    </xf>
    <xf numFmtId="0" fontId="26" fillId="0" borderId="5" xfId="4" applyFont="1" applyFill="1" applyBorder="1">
      <alignment vertical="top" wrapText="1"/>
    </xf>
    <xf numFmtId="0" fontId="26" fillId="0" borderId="0" xfId="4" applyFont="1" applyFill="1" applyBorder="1" applyAlignment="1">
      <alignment horizontal="left" vertical="top"/>
    </xf>
    <xf numFmtId="169" fontId="26" fillId="0" borderId="16" xfId="4" applyNumberFormat="1" applyFont="1" applyFill="1" applyBorder="1">
      <alignment vertical="top" wrapText="1"/>
    </xf>
    <xf numFmtId="4" fontId="5" fillId="0" borderId="0" xfId="4" applyNumberFormat="1" applyFill="1" applyAlignment="1">
      <alignment horizontal="left" vertical="top" wrapText="1"/>
    </xf>
    <xf numFmtId="0" fontId="20" fillId="0" borderId="0" xfId="4" applyFont="1" applyFill="1" applyBorder="1">
      <alignment vertical="top" wrapText="1"/>
    </xf>
    <xf numFmtId="0" fontId="20" fillId="0" borderId="10" xfId="4" applyFont="1" applyFill="1" applyBorder="1">
      <alignment vertical="top" wrapText="1"/>
    </xf>
    <xf numFmtId="169" fontId="20" fillId="0" borderId="14" xfId="4" applyNumberFormat="1" applyFont="1" applyFill="1" applyBorder="1">
      <alignment vertical="top" wrapText="1"/>
    </xf>
    <xf numFmtId="0" fontId="26" fillId="0" borderId="10" xfId="4" applyFont="1" applyFill="1" applyBorder="1" applyAlignment="1">
      <alignment horizontal="left" vertical="top" wrapText="1" indent="1"/>
    </xf>
    <xf numFmtId="170" fontId="20" fillId="0" borderId="14" xfId="4" applyNumberFormat="1" applyFont="1" applyFill="1" applyBorder="1">
      <alignment vertical="top" wrapText="1"/>
    </xf>
    <xf numFmtId="0" fontId="29" fillId="0" borderId="5" xfId="4" applyFont="1" applyFill="1" applyBorder="1" applyAlignment="1">
      <alignment horizontal="left" vertical="top"/>
    </xf>
    <xf numFmtId="0" fontId="29" fillId="0" borderId="0" xfId="4" applyFont="1" applyFill="1" applyBorder="1">
      <alignment vertical="top" wrapText="1"/>
    </xf>
    <xf numFmtId="0" fontId="29" fillId="0" borderId="10" xfId="4" applyFont="1" applyFill="1" applyBorder="1">
      <alignment vertical="top" wrapText="1"/>
    </xf>
    <xf numFmtId="170" fontId="26" fillId="0" borderId="14" xfId="4" applyNumberFormat="1" applyFont="1" applyFill="1" applyBorder="1">
      <alignment vertical="top" wrapText="1"/>
    </xf>
    <xf numFmtId="0" fontId="26" fillId="0" borderId="0" xfId="4" applyFont="1" applyFill="1" applyBorder="1" applyAlignment="1">
      <alignment horizontal="left" vertical="top" wrapText="1" indent="1"/>
    </xf>
    <xf numFmtId="0" fontId="27" fillId="0" borderId="5" xfId="4" applyFont="1" applyFill="1" applyBorder="1" applyAlignment="1">
      <alignment horizontal="left" vertical="top"/>
    </xf>
    <xf numFmtId="0" fontId="27" fillId="0" borderId="0" xfId="4" applyFont="1" applyFill="1" applyBorder="1">
      <alignment vertical="top" wrapText="1"/>
    </xf>
    <xf numFmtId="0" fontId="26" fillId="0" borderId="6" xfId="4" applyFont="1" applyFill="1" applyBorder="1" applyAlignment="1">
      <alignment horizontal="left" vertical="top"/>
    </xf>
    <xf numFmtId="0" fontId="26" fillId="0" borderId="7" xfId="4" applyFont="1" applyFill="1" applyBorder="1">
      <alignment vertical="top" wrapText="1"/>
    </xf>
    <xf numFmtId="0" fontId="26" fillId="0" borderId="0" xfId="4" applyFont="1" applyFill="1">
      <alignment vertical="top" wrapText="1"/>
    </xf>
    <xf numFmtId="0" fontId="26" fillId="0" borderId="8" xfId="4" applyFont="1" applyFill="1" applyBorder="1">
      <alignment vertical="top" wrapText="1"/>
    </xf>
    <xf numFmtId="169" fontId="26" fillId="0" borderId="10" xfId="4" applyNumberFormat="1" applyFont="1" applyFill="1" applyBorder="1">
      <alignment vertical="top" wrapText="1"/>
    </xf>
    <xf numFmtId="0" fontId="5" fillId="0" borderId="8" xfId="4" applyFill="1" applyBorder="1">
      <alignment vertical="top" wrapText="1"/>
    </xf>
    <xf numFmtId="169" fontId="5" fillId="0" borderId="10" xfId="4" applyNumberFormat="1" applyFill="1" applyBorder="1">
      <alignment vertical="top" wrapText="1"/>
    </xf>
    <xf numFmtId="0" fontId="18" fillId="0" borderId="0" xfId="8" applyFont="1" applyAlignment="1">
      <alignment wrapText="1"/>
    </xf>
    <xf numFmtId="164" fontId="2" fillId="0" borderId="8" xfId="3" quotePrefix="1" applyFont="1" applyFill="1" applyBorder="1" applyAlignment="1">
      <alignment horizontal="left" vertical="top" wrapText="1"/>
    </xf>
    <xf numFmtId="164" fontId="24" fillId="0" borderId="14" xfId="3" quotePrefix="1" applyFont="1" applyFill="1" applyBorder="1" applyAlignment="1">
      <alignment horizontal="left" wrapText="1"/>
    </xf>
    <xf numFmtId="164" fontId="23" fillId="0" borderId="21" xfId="3" quotePrefix="1" applyFont="1" applyFill="1" applyBorder="1" applyAlignment="1">
      <alignment horizontal="left"/>
    </xf>
    <xf numFmtId="164" fontId="2" fillId="0" borderId="8" xfId="3" applyFont="1" applyFill="1" applyBorder="1" applyAlignment="1">
      <alignment horizontal="left" vertical="top" wrapText="1"/>
    </xf>
    <xf numFmtId="0" fontId="46" fillId="0" borderId="0" xfId="4" applyFont="1" applyFill="1" applyAlignment="1">
      <alignment horizontal="left" vertical="top"/>
    </xf>
    <xf numFmtId="0" fontId="20" fillId="3" borderId="18" xfId="4" applyFont="1" applyFill="1" applyBorder="1">
      <alignment vertical="top" wrapText="1"/>
    </xf>
    <xf numFmtId="169" fontId="20" fillId="3" borderId="13" xfId="4" applyNumberFormat="1" applyFont="1" applyFill="1" applyBorder="1" applyAlignment="1">
      <alignment horizontal="center" vertical="top" wrapText="1"/>
    </xf>
    <xf numFmtId="0" fontId="26" fillId="3" borderId="17" xfId="4" applyFont="1" applyFill="1" applyBorder="1">
      <alignment vertical="top" wrapText="1"/>
    </xf>
    <xf numFmtId="0" fontId="47" fillId="0" borderId="0" xfId="0" applyFont="1"/>
    <xf numFmtId="164" fontId="37" fillId="3" borderId="28" xfId="9" applyFont="1" applyFill="1" applyBorder="1" applyAlignment="1">
      <alignment horizontal="center" vertical="top" wrapText="1"/>
    </xf>
    <xf numFmtId="164" fontId="41" fillId="0" borderId="29" xfId="9" applyFont="1" applyFill="1" applyBorder="1" applyAlignment="1">
      <alignment vertical="top" wrapText="1"/>
    </xf>
    <xf numFmtId="170" fontId="41" fillId="0" borderId="30" xfId="9" applyNumberFormat="1" applyFont="1" applyFill="1" applyBorder="1" applyAlignment="1">
      <alignment vertical="top" wrapText="1"/>
    </xf>
    <xf numFmtId="164" fontId="25" fillId="0" borderId="29" xfId="9" applyFont="1" applyFill="1" applyBorder="1" applyAlignment="1">
      <alignment vertical="top" wrapText="1"/>
    </xf>
    <xf numFmtId="164" fontId="25" fillId="0" borderId="31" xfId="9" applyFont="1" applyFill="1" applyBorder="1" applyAlignment="1">
      <alignment vertical="top" wrapText="1"/>
    </xf>
    <xf numFmtId="170" fontId="25" fillId="0" borderId="30" xfId="9" applyNumberFormat="1" applyFont="1" applyFill="1" applyBorder="1" applyAlignment="1">
      <alignment vertical="top" wrapText="1"/>
    </xf>
    <xf numFmtId="0" fontId="48" fillId="0" borderId="0" xfId="4" applyFont="1" applyFill="1" applyAlignment="1">
      <alignment vertical="top"/>
    </xf>
    <xf numFmtId="2" fontId="6" fillId="0" borderId="20" xfId="3" quotePrefix="1" applyNumberFormat="1" applyFont="1" applyFill="1" applyBorder="1" applyAlignment="1">
      <alignment horizontal="right" wrapText="1"/>
    </xf>
    <xf numFmtId="2" fontId="44" fillId="0" borderId="20" xfId="3" quotePrefix="1" applyNumberFormat="1" applyFont="1" applyFill="1" applyBorder="1" applyAlignment="1">
      <alignment horizontal="left" vertical="top" wrapText="1"/>
    </xf>
    <xf numFmtId="2" fontId="24" fillId="0" borderId="35" xfId="2" quotePrefix="1" applyNumberFormat="1" applyFont="1" applyFill="1" applyBorder="1" applyAlignment="1">
      <alignment horizontal="left" wrapText="1"/>
    </xf>
    <xf numFmtId="164" fontId="24" fillId="0" borderId="35" xfId="3" quotePrefix="1" applyFont="1" applyFill="1" applyBorder="1" applyAlignment="1">
      <alignment horizontal="left" wrapText="1"/>
    </xf>
    <xf numFmtId="164" fontId="24" fillId="0" borderId="35" xfId="3" quotePrefix="1" applyFont="1" applyFill="1" applyBorder="1" applyAlignment="1">
      <alignment horizontal="left"/>
    </xf>
    <xf numFmtId="164" fontId="24" fillId="0" borderId="33" xfId="3" quotePrefix="1" applyFont="1" applyFill="1" applyBorder="1" applyAlignment="1">
      <alignment horizontal="left" wrapText="1"/>
    </xf>
    <xf numFmtId="164" fontId="23" fillId="0" borderId="35" xfId="3" quotePrefix="1" applyFont="1" applyFill="1" applyBorder="1" applyAlignment="1">
      <alignment horizontal="left"/>
    </xf>
    <xf numFmtId="164" fontId="2" fillId="0" borderId="36" xfId="3" quotePrefix="1" applyFont="1" applyFill="1" applyBorder="1" applyAlignment="1">
      <alignment horizontal="left" vertical="top" wrapText="1"/>
    </xf>
    <xf numFmtId="164" fontId="23" fillId="0" borderId="14" xfId="3" quotePrefix="1" applyFont="1" applyFill="1" applyBorder="1" applyAlignment="1">
      <alignment horizontal="left"/>
    </xf>
    <xf numFmtId="166" fontId="26" fillId="0" borderId="12" xfId="4" applyNumberFormat="1" applyFont="1" applyFill="1" applyBorder="1" applyAlignment="1">
      <alignment vertical="top"/>
    </xf>
    <xf numFmtId="169" fontId="20" fillId="4" borderId="40" xfId="4" applyNumberFormat="1" applyFont="1" applyFill="1" applyBorder="1">
      <alignment vertical="top" wrapText="1"/>
    </xf>
    <xf numFmtId="169" fontId="20" fillId="4" borderId="32" xfId="4" applyNumberFormat="1" applyFont="1" applyFill="1" applyBorder="1">
      <alignment vertical="top" wrapText="1"/>
    </xf>
    <xf numFmtId="2" fontId="20" fillId="0" borderId="5" xfId="4" applyNumberFormat="1" applyFont="1" applyFill="1" applyBorder="1" applyAlignment="1">
      <alignment horizontal="left" vertical="top"/>
    </xf>
    <xf numFmtId="1" fontId="20" fillId="0" borderId="5" xfId="4" applyNumberFormat="1" applyFont="1" applyFill="1" applyBorder="1" applyAlignment="1">
      <alignment horizontal="left" vertical="top"/>
    </xf>
    <xf numFmtId="2" fontId="26" fillId="0" borderId="0" xfId="4" applyNumberFormat="1" applyFont="1" applyFill="1" applyBorder="1">
      <alignment vertical="top" wrapText="1"/>
    </xf>
    <xf numFmtId="1" fontId="26" fillId="0" borderId="0" xfId="4" applyNumberFormat="1" applyFont="1" applyFill="1" applyBorder="1">
      <alignment vertical="top" wrapText="1"/>
    </xf>
    <xf numFmtId="169" fontId="29" fillId="4" borderId="40" xfId="4" applyNumberFormat="1" applyFont="1" applyFill="1" applyBorder="1">
      <alignment vertical="top" wrapText="1"/>
    </xf>
    <xf numFmtId="170" fontId="40" fillId="4" borderId="42" xfId="9" applyNumberFormat="1" applyFont="1" applyFill="1" applyBorder="1" applyAlignment="1">
      <alignment vertical="top" wrapText="1"/>
    </xf>
    <xf numFmtId="0" fontId="54" fillId="0" borderId="0" xfId="4" applyFont="1" applyFill="1" applyBorder="1">
      <alignment vertical="top" wrapText="1"/>
    </xf>
    <xf numFmtId="0" fontId="54" fillId="0" borderId="10" xfId="4" applyFont="1" applyFill="1" applyBorder="1" applyAlignment="1">
      <alignment horizontal="left" vertical="top" wrapText="1" indent="1"/>
    </xf>
    <xf numFmtId="169" fontId="27" fillId="4" borderId="40" xfId="4" applyNumberFormat="1" applyFont="1" applyFill="1" applyBorder="1">
      <alignment vertical="top" wrapText="1"/>
    </xf>
    <xf numFmtId="4" fontId="20" fillId="5" borderId="0" xfId="4" applyNumberFormat="1" applyFont="1" applyFill="1">
      <alignment vertical="top" wrapText="1"/>
    </xf>
    <xf numFmtId="164" fontId="20" fillId="0" borderId="0" xfId="4" applyNumberFormat="1" applyFont="1" applyFill="1" applyBorder="1">
      <alignment vertical="top" wrapText="1"/>
    </xf>
    <xf numFmtId="4" fontId="20" fillId="0" borderId="0" xfId="4" applyNumberFormat="1" applyFont="1" applyFill="1">
      <alignment vertical="top" wrapText="1"/>
    </xf>
    <xf numFmtId="164" fontId="25" fillId="0" borderId="43" xfId="9" applyFont="1" applyFill="1" applyBorder="1" applyAlignment="1">
      <alignment vertical="top" wrapText="1"/>
    </xf>
    <xf numFmtId="169" fontId="26" fillId="0" borderId="29" xfId="4" applyNumberFormat="1" applyFont="1" applyFill="1" applyBorder="1">
      <alignment vertical="top" wrapText="1"/>
    </xf>
    <xf numFmtId="169" fontId="20" fillId="4" borderId="42" xfId="4" applyNumberFormat="1" applyFont="1" applyFill="1" applyBorder="1">
      <alignment vertical="top" wrapText="1"/>
    </xf>
    <xf numFmtId="169" fontId="25" fillId="0" borderId="44" xfId="9" applyNumberFormat="1" applyFont="1" applyFill="1" applyBorder="1" applyAlignment="1">
      <alignment vertical="top" wrapText="1"/>
    </xf>
    <xf numFmtId="169" fontId="40" fillId="4" borderId="42" xfId="9" applyNumberFormat="1" applyFont="1" applyFill="1" applyBorder="1" applyAlignment="1">
      <alignment vertical="top" wrapText="1"/>
    </xf>
    <xf numFmtId="1" fontId="24" fillId="0" borderId="35" xfId="2" quotePrefix="1" applyNumberFormat="1" applyFont="1" applyFill="1" applyBorder="1" applyAlignment="1">
      <alignment horizontal="center" vertical="center" wrapText="1"/>
    </xf>
    <xf numFmtId="4" fontId="6" fillId="6" borderId="35" xfId="11" quotePrefix="1" applyNumberFormat="1" applyFont="1" applyFill="1" applyBorder="1" applyAlignment="1">
      <alignment horizontal="left" vertical="center" wrapText="1"/>
    </xf>
    <xf numFmtId="2" fontId="24" fillId="6" borderId="35" xfId="2" quotePrefix="1" applyNumberFormat="1" applyFont="1" applyFill="1" applyBorder="1" applyAlignment="1">
      <alignment horizontal="left" wrapText="1"/>
    </xf>
    <xf numFmtId="164" fontId="24" fillId="6" borderId="35" xfId="3" quotePrefix="1" applyFont="1" applyFill="1" applyBorder="1" applyAlignment="1">
      <alignment horizontal="left" wrapText="1"/>
    </xf>
    <xf numFmtId="164" fontId="24" fillId="6" borderId="35" xfId="3" quotePrefix="1" applyFont="1" applyFill="1" applyBorder="1" applyAlignment="1">
      <alignment horizontal="left"/>
    </xf>
    <xf numFmtId="4" fontId="30" fillId="6" borderId="34" xfId="11" quotePrefix="1" applyNumberFormat="1" applyFont="1" applyFill="1" applyBorder="1" applyAlignment="1">
      <alignment horizontal="right" vertical="center" wrapText="1"/>
    </xf>
    <xf numFmtId="164" fontId="23" fillId="6" borderId="21" xfId="3" quotePrefix="1" applyFont="1" applyFill="1" applyBorder="1" applyAlignment="1">
      <alignment horizontal="left"/>
    </xf>
    <xf numFmtId="2" fontId="24" fillId="0" borderId="35" xfId="2" quotePrefix="1" applyNumberFormat="1" applyFont="1" applyFill="1" applyBorder="1" applyAlignment="1">
      <alignment horizontal="center" vertical="center" wrapText="1"/>
    </xf>
    <xf numFmtId="2" fontId="24" fillId="6" borderId="35" xfId="2" quotePrefix="1" applyNumberFormat="1" applyFont="1" applyFill="1" applyBorder="1" applyAlignment="1">
      <alignment horizontal="center" vertical="center" wrapText="1"/>
    </xf>
    <xf numFmtId="1" fontId="24" fillId="6" borderId="35" xfId="2" quotePrefix="1" applyNumberFormat="1" applyFont="1" applyFill="1" applyBorder="1" applyAlignment="1">
      <alignment horizontal="center" vertical="center" wrapText="1"/>
    </xf>
    <xf numFmtId="1" fontId="24" fillId="0" borderId="14" xfId="2" quotePrefix="1" applyNumberFormat="1" applyFont="1" applyFill="1" applyBorder="1" applyAlignment="1">
      <alignment horizontal="center" vertical="center" wrapText="1"/>
    </xf>
    <xf numFmtId="1" fontId="33" fillId="0" borderId="35" xfId="2" quotePrefix="1" applyNumberFormat="1" applyFont="1" applyFill="1" applyBorder="1" applyAlignment="1">
      <alignment horizontal="center" vertical="center" wrapText="1"/>
    </xf>
    <xf numFmtId="1" fontId="24" fillId="0" borderId="35" xfId="2" quotePrefix="1" applyNumberFormat="1" applyFont="1" applyFill="1" applyBorder="1" applyAlignment="1">
      <alignment horizontal="center" vertical="center"/>
    </xf>
    <xf numFmtId="1" fontId="6" fillId="0" borderId="35" xfId="2" quotePrefix="1" applyNumberFormat="1" applyFont="1" applyFill="1" applyBorder="1" applyAlignment="1">
      <alignment horizontal="center" vertical="center" wrapText="1"/>
    </xf>
    <xf numFmtId="2" fontId="51" fillId="6" borderId="41" xfId="3" quotePrefix="1" applyNumberFormat="1" applyFont="1" applyFill="1" applyBorder="1" applyAlignment="1">
      <alignment horizontal="left" wrapText="1"/>
    </xf>
    <xf numFmtId="49" fontId="2" fillId="0" borderId="0" xfId="6" applyNumberFormat="1" applyFont="1" applyAlignment="1">
      <alignment horizontal="left" vertical="top"/>
    </xf>
    <xf numFmtId="49" fontId="2" fillId="0" borderId="9" xfId="6" applyNumberFormat="1" applyFont="1" applyBorder="1" applyAlignment="1">
      <alignment horizontal="left" vertical="top"/>
    </xf>
    <xf numFmtId="4" fontId="2" fillId="0" borderId="10" xfId="6" applyNumberFormat="1" applyFont="1" applyBorder="1" applyAlignment="1">
      <alignment horizontal="left" vertical="top"/>
    </xf>
    <xf numFmtId="4" fontId="2" fillId="0" borderId="0" xfId="6" applyNumberFormat="1" applyFont="1" applyAlignment="1">
      <alignment horizontal="left" vertical="top"/>
    </xf>
    <xf numFmtId="1" fontId="2" fillId="0" borderId="0" xfId="6" applyNumberFormat="1" applyFont="1" applyAlignment="1">
      <alignment horizontal="center" vertical="center"/>
    </xf>
    <xf numFmtId="49" fontId="2" fillId="0" borderId="0" xfId="6" applyNumberFormat="1" applyFont="1" applyAlignment="1">
      <alignment horizontal="center" vertical="center"/>
    </xf>
    <xf numFmtId="164" fontId="2" fillId="0" borderId="0" xfId="3" applyFont="1" applyFill="1" applyBorder="1" applyAlignment="1">
      <alignment horizontal="left" vertical="top"/>
    </xf>
    <xf numFmtId="164" fontId="2" fillId="0" borderId="8" xfId="3" applyFont="1" applyFill="1" applyBorder="1" applyAlignment="1">
      <alignment horizontal="left" vertical="top"/>
    </xf>
    <xf numFmtId="164" fontId="2" fillId="0" borderId="9" xfId="3" applyFont="1" applyFill="1" applyBorder="1" applyAlignment="1">
      <alignment vertical="top" wrapText="1"/>
    </xf>
    <xf numFmtId="0" fontId="2" fillId="0" borderId="0" xfId="6" applyFont="1" applyAlignment="1">
      <alignment horizontal="center" vertical="top"/>
    </xf>
    <xf numFmtId="0" fontId="2" fillId="0" borderId="0" xfId="6" applyFont="1" applyAlignment="1">
      <alignment vertical="top"/>
    </xf>
    <xf numFmtId="4" fontId="2" fillId="0" borderId="10" xfId="5" applyNumberFormat="1" applyBorder="1"/>
    <xf numFmtId="4" fontId="2" fillId="0" borderId="0" xfId="5" applyNumberFormat="1"/>
    <xf numFmtId="1" fontId="2" fillId="0" borderId="0" xfId="5" applyNumberFormat="1" applyAlignment="1">
      <alignment horizontal="center" vertical="center"/>
    </xf>
    <xf numFmtId="0" fontId="2" fillId="0" borderId="0" xfId="5" applyAlignment="1">
      <alignment horizontal="center" vertical="center"/>
    </xf>
    <xf numFmtId="164" fontId="2" fillId="0" borderId="0" xfId="3" applyFont="1" applyFill="1" applyBorder="1"/>
    <xf numFmtId="164" fontId="2" fillId="0" borderId="8" xfId="3" applyFont="1" applyFill="1" applyBorder="1"/>
    <xf numFmtId="166" fontId="9" fillId="0" borderId="0" xfId="6" applyNumberFormat="1" applyFont="1" applyAlignment="1">
      <alignment horizontal="left" vertical="top"/>
    </xf>
    <xf numFmtId="166" fontId="9" fillId="0" borderId="19" xfId="6" applyNumberFormat="1" applyFont="1" applyBorder="1" applyAlignment="1">
      <alignment horizontal="left" vertical="top"/>
    </xf>
    <xf numFmtId="164" fontId="28" fillId="0" borderId="9" xfId="3" applyFont="1" applyFill="1" applyBorder="1" applyAlignment="1">
      <alignment vertical="top" wrapText="1"/>
    </xf>
    <xf numFmtId="0" fontId="21" fillId="0" borderId="0" xfId="6" applyFont="1" applyAlignment="1">
      <alignment horizontal="center" vertical="top"/>
    </xf>
    <xf numFmtId="0" fontId="22" fillId="0" borderId="0" xfId="6" applyFont="1" applyAlignment="1">
      <alignment vertical="top"/>
    </xf>
    <xf numFmtId="1" fontId="9" fillId="0" borderId="0" xfId="6" applyNumberFormat="1" applyFont="1" applyAlignment="1">
      <alignment horizontal="center" vertical="center"/>
    </xf>
    <xf numFmtId="166" fontId="9" fillId="0" borderId="0" xfId="6" applyNumberFormat="1" applyFont="1" applyAlignment="1">
      <alignment horizontal="center" vertical="center"/>
    </xf>
    <xf numFmtId="164" fontId="23" fillId="0" borderId="0" xfId="3" applyFont="1" applyFill="1" applyBorder="1" applyAlignment="1">
      <alignment horizontal="left" vertical="center"/>
    </xf>
    <xf numFmtId="164" fontId="23" fillId="0" borderId="8" xfId="3" applyFont="1" applyFill="1" applyBorder="1" applyAlignment="1">
      <alignment horizontal="left" vertical="center"/>
    </xf>
    <xf numFmtId="164" fontId="24" fillId="0" borderId="9" xfId="3" applyFont="1" applyFill="1" applyBorder="1" applyAlignment="1">
      <alignment horizontal="center" wrapText="1"/>
    </xf>
    <xf numFmtId="49" fontId="2" fillId="0" borderId="0" xfId="6" applyNumberFormat="1" applyFont="1" applyAlignment="1">
      <alignment horizontal="center" vertical="top"/>
    </xf>
    <xf numFmtId="49" fontId="3" fillId="0" borderId="0" xfId="6" applyNumberFormat="1" applyFont="1" applyAlignment="1">
      <alignment vertical="top"/>
    </xf>
    <xf numFmtId="49" fontId="2" fillId="0" borderId="0" xfId="6" applyNumberFormat="1" applyFont="1" applyAlignment="1">
      <alignment horizontal="center" vertical="top" wrapText="1"/>
    </xf>
    <xf numFmtId="49" fontId="3" fillId="0" borderId="0" xfId="6" applyNumberFormat="1" applyFont="1" applyAlignment="1">
      <alignment vertical="top" wrapText="1"/>
    </xf>
    <xf numFmtId="0" fontId="2" fillId="0" borderId="0" xfId="6" applyFont="1" applyAlignment="1">
      <alignment vertical="top" wrapText="1"/>
    </xf>
    <xf numFmtId="164" fontId="2" fillId="0" borderId="8" xfId="3" applyFont="1" applyFill="1" applyBorder="1" applyAlignment="1">
      <alignment horizontal="center" vertical="top" wrapText="1"/>
    </xf>
    <xf numFmtId="4" fontId="30" fillId="0" borderId="20" xfId="11" applyNumberFormat="1" applyFont="1" applyBorder="1" applyAlignment="1">
      <alignment horizontal="left" vertical="center" wrapText="1"/>
    </xf>
    <xf numFmtId="164" fontId="2" fillId="0" borderId="9" xfId="3" applyFont="1" applyFill="1" applyBorder="1" applyAlignment="1">
      <alignment horizontal="center" vertical="top" wrapText="1"/>
    </xf>
    <xf numFmtId="1" fontId="24" fillId="0" borderId="21" xfId="11" quotePrefix="1" applyNumberFormat="1" applyFont="1" applyBorder="1" applyAlignment="1">
      <alignment horizontal="left" wrapText="1"/>
    </xf>
    <xf numFmtId="4" fontId="30" fillId="0" borderId="35" xfId="11" applyNumberFormat="1" applyFont="1" applyBorder="1" applyAlignment="1">
      <alignment horizontal="left" vertical="center" wrapText="1"/>
    </xf>
    <xf numFmtId="1" fontId="24" fillId="0" borderId="14" xfId="11" quotePrefix="1" applyNumberFormat="1" applyFont="1" applyBorder="1" applyAlignment="1">
      <alignment horizontal="center" vertical="center" wrapText="1"/>
    </xf>
    <xf numFmtId="1" fontId="23" fillId="0" borderId="20" xfId="11" quotePrefix="1" applyNumberFormat="1" applyFont="1" applyBorder="1" applyAlignment="1">
      <alignment horizontal="left" vertical="center" wrapText="1"/>
    </xf>
    <xf numFmtId="4" fontId="30" fillId="0" borderId="35" xfId="11" quotePrefix="1" applyNumberFormat="1" applyFont="1" applyBorder="1" applyAlignment="1">
      <alignment horizontal="right" vertical="center" wrapText="1"/>
    </xf>
    <xf numFmtId="4" fontId="6" fillId="0" borderId="35" xfId="11" quotePrefix="1" applyNumberFormat="1" applyFont="1" applyBorder="1" applyAlignment="1">
      <alignment horizontal="left" vertical="center" wrapText="1"/>
    </xf>
    <xf numFmtId="1" fontId="23" fillId="0" borderId="35" xfId="11" quotePrefix="1" applyNumberFormat="1" applyFont="1" applyBorder="1" applyAlignment="1">
      <alignment horizontal="left" vertical="center" wrapText="1"/>
    </xf>
    <xf numFmtId="1" fontId="24" fillId="0" borderId="20" xfId="11" quotePrefix="1" applyNumberFormat="1" applyFont="1" applyBorder="1" applyAlignment="1">
      <alignment horizontal="left" vertical="center" wrapText="1"/>
    </xf>
    <xf numFmtId="4" fontId="30" fillId="0" borderId="35" xfId="11" quotePrefix="1" applyNumberFormat="1" applyFont="1" applyBorder="1" applyAlignment="1">
      <alignment horizontal="left" vertical="center" wrapText="1"/>
    </xf>
    <xf numFmtId="1" fontId="24" fillId="0" borderId="35" xfId="11" quotePrefix="1" applyNumberFormat="1" applyFont="1" applyBorder="1" applyAlignment="1">
      <alignment horizontal="center" vertical="center" wrapText="1"/>
    </xf>
    <xf numFmtId="1" fontId="24" fillId="0" borderId="35" xfId="11" quotePrefix="1" applyNumberFormat="1" applyFont="1" applyBorder="1" applyAlignment="1">
      <alignment horizontal="left" wrapText="1"/>
    </xf>
    <xf numFmtId="166" fontId="24" fillId="0" borderId="35" xfId="11" applyNumberFormat="1" applyFont="1" applyBorder="1" applyAlignment="1">
      <alignment horizontal="center" vertical="center"/>
    </xf>
    <xf numFmtId="166" fontId="24" fillId="0" borderId="35" xfId="11" applyNumberFormat="1" applyFont="1" applyBorder="1" applyAlignment="1">
      <alignment horizontal="center"/>
    </xf>
    <xf numFmtId="1" fontId="33" fillId="0" borderId="35" xfId="6" applyNumberFormat="1" applyFont="1" applyBorder="1" applyAlignment="1">
      <alignment horizontal="center" vertical="center"/>
    </xf>
    <xf numFmtId="1" fontId="24" fillId="0" borderId="35" xfId="6" applyNumberFormat="1" applyFont="1" applyBorder="1" applyAlignment="1">
      <alignment horizontal="center" vertical="center"/>
    </xf>
    <xf numFmtId="1" fontId="24" fillId="0" borderId="35" xfId="11" quotePrefix="1" applyNumberFormat="1" applyFont="1" applyBorder="1" applyAlignment="1">
      <alignment horizontal="center" vertical="center"/>
    </xf>
    <xf numFmtId="1" fontId="24" fillId="0" borderId="35" xfId="11" quotePrefix="1" applyNumberFormat="1" applyFont="1" applyBorder="1" applyAlignment="1">
      <alignment horizontal="left"/>
    </xf>
    <xf numFmtId="1" fontId="30" fillId="0" borderId="20" xfId="11" quotePrefix="1" applyNumberFormat="1" applyFont="1" applyBorder="1" applyAlignment="1">
      <alignment horizontal="left" vertical="center" wrapText="1"/>
    </xf>
    <xf numFmtId="164" fontId="24" fillId="0" borderId="34" xfId="3" quotePrefix="1" applyFont="1" applyFill="1" applyBorder="1" applyAlignment="1">
      <alignment horizontal="left"/>
    </xf>
    <xf numFmtId="1" fontId="34" fillId="0" borderId="20" xfId="11" quotePrefix="1" applyNumberFormat="1" applyFont="1" applyBorder="1" applyAlignment="1">
      <alignment horizontal="left" vertical="center" wrapText="1"/>
    </xf>
    <xf numFmtId="1" fontId="45" fillId="0" borderId="20" xfId="11" quotePrefix="1" applyNumberFormat="1" applyFont="1" applyBorder="1" applyAlignment="1">
      <alignment horizontal="left" vertical="center" wrapText="1"/>
    </xf>
    <xf numFmtId="1" fontId="45" fillId="0" borderId="14" xfId="11" quotePrefix="1" applyNumberFormat="1" applyFont="1" applyBorder="1" applyAlignment="1">
      <alignment horizontal="left" vertical="center" wrapText="1"/>
    </xf>
    <xf numFmtId="4" fontId="30" fillId="0" borderId="0" xfId="11" applyNumberFormat="1" applyFont="1" applyAlignment="1">
      <alignment horizontal="left" vertical="center" wrapText="1"/>
    </xf>
    <xf numFmtId="1" fontId="24" fillId="0" borderId="14" xfId="6" applyNumberFormat="1" applyFont="1" applyBorder="1" applyAlignment="1">
      <alignment horizontal="center" vertical="center"/>
    </xf>
    <xf numFmtId="1" fontId="24" fillId="0" borderId="14" xfId="11" quotePrefix="1" applyNumberFormat="1" applyFont="1" applyBorder="1" applyAlignment="1">
      <alignment horizontal="center" vertical="center"/>
    </xf>
    <xf numFmtId="1" fontId="24" fillId="0" borderId="21" xfId="11" quotePrefix="1" applyNumberFormat="1" applyFont="1" applyBorder="1" applyAlignment="1">
      <alignment horizontal="left"/>
    </xf>
    <xf numFmtId="1" fontId="30" fillId="0" borderId="14" xfId="11" quotePrefix="1" applyNumberFormat="1" applyFont="1" applyBorder="1" applyAlignment="1">
      <alignment horizontal="left" vertical="center" wrapText="1"/>
    </xf>
    <xf numFmtId="1" fontId="34" fillId="0" borderId="14" xfId="11" quotePrefix="1" applyNumberFormat="1" applyFont="1" applyBorder="1" applyAlignment="1">
      <alignment horizontal="left" vertical="center" wrapText="1"/>
    </xf>
    <xf numFmtId="4" fontId="30" fillId="0" borderId="33" xfId="11" applyNumberFormat="1" applyFont="1" applyBorder="1" applyAlignment="1">
      <alignment horizontal="left" vertical="center" wrapText="1"/>
    </xf>
    <xf numFmtId="4" fontId="24" fillId="0" borderId="35" xfId="11" quotePrefix="1" applyNumberFormat="1" applyFont="1" applyBorder="1" applyAlignment="1">
      <alignment horizontal="left" vertical="center" wrapText="1"/>
    </xf>
    <xf numFmtId="49" fontId="2" fillId="0" borderId="0" xfId="6" applyNumberFormat="1" applyFont="1" applyAlignment="1">
      <alignment vertical="top"/>
    </xf>
    <xf numFmtId="4" fontId="23" fillId="0" borderId="35" xfId="11" quotePrefix="1" applyNumberFormat="1" applyFont="1" applyBorder="1" applyAlignment="1">
      <alignment horizontal="left" vertical="center" wrapText="1"/>
    </xf>
    <xf numFmtId="1" fontId="24" fillId="0" borderId="33" xfId="11" quotePrefix="1" applyNumberFormat="1" applyFont="1" applyBorder="1" applyAlignment="1">
      <alignment horizontal="left" vertical="center" wrapText="1"/>
    </xf>
    <xf numFmtId="1" fontId="24" fillId="0" borderId="35" xfId="11" quotePrefix="1" applyNumberFormat="1" applyFont="1" applyBorder="1" applyAlignment="1">
      <alignment horizontal="left" vertical="center" wrapText="1"/>
    </xf>
    <xf numFmtId="1" fontId="23" fillId="0" borderId="33" xfId="11" quotePrefix="1" applyNumberFormat="1" applyFont="1" applyBorder="1" applyAlignment="1">
      <alignment horizontal="left" vertical="center" wrapText="1"/>
    </xf>
    <xf numFmtId="4" fontId="2" fillId="0" borderId="9" xfId="6" applyNumberFormat="1" applyFont="1" applyBorder="1" applyAlignment="1">
      <alignment horizontal="left" vertical="top"/>
    </xf>
    <xf numFmtId="1" fontId="2" fillId="0" borderId="9" xfId="6" applyNumberFormat="1" applyFont="1" applyBorder="1" applyAlignment="1">
      <alignment horizontal="center" vertical="center"/>
    </xf>
    <xf numFmtId="49" fontId="2" fillId="0" borderId="9" xfId="6" applyNumberFormat="1" applyFont="1" applyBorder="1" applyAlignment="1">
      <alignment horizontal="center" vertical="center"/>
    </xf>
    <xf numFmtId="164" fontId="2" fillId="0" borderId="9" xfId="3" applyFont="1" applyFill="1" applyBorder="1" applyAlignment="1">
      <alignment horizontal="left" vertical="top"/>
    </xf>
    <xf numFmtId="2" fontId="53" fillId="6" borderId="14" xfId="3" quotePrefix="1" applyNumberFormat="1" applyFont="1" applyFill="1" applyBorder="1" applyAlignment="1">
      <alignment horizontal="left" wrapText="1"/>
    </xf>
    <xf numFmtId="4" fontId="2" fillId="6" borderId="35" xfId="11" quotePrefix="1" applyNumberFormat="1" applyFont="1" applyFill="1" applyBorder="1" applyAlignment="1">
      <alignment horizontal="center" vertical="center" wrapText="1"/>
    </xf>
    <xf numFmtId="164" fontId="23" fillId="6" borderId="37" xfId="3" quotePrefix="1" applyFont="1" applyFill="1" applyBorder="1" applyAlignment="1">
      <alignment horizontal="left"/>
    </xf>
    <xf numFmtId="166" fontId="51" fillId="6" borderId="14" xfId="3" quotePrefix="1" applyNumberFormat="1" applyFont="1" applyFill="1" applyBorder="1" applyAlignment="1">
      <alignment horizontal="left" wrapText="1"/>
    </xf>
    <xf numFmtId="4" fontId="2" fillId="6" borderId="14" xfId="11" quotePrefix="1" applyNumberFormat="1" applyFont="1" applyFill="1" applyBorder="1" applyAlignment="1">
      <alignment horizontal="center" vertical="center" wrapText="1"/>
    </xf>
    <xf numFmtId="1" fontId="24" fillId="6" borderId="14" xfId="2" quotePrefix="1" applyNumberFormat="1" applyFont="1" applyFill="1" applyBorder="1" applyAlignment="1">
      <alignment horizontal="center" vertical="center" wrapText="1"/>
    </xf>
    <xf numFmtId="4" fontId="2" fillId="6" borderId="35" xfId="11" quotePrefix="1" applyNumberFormat="1" applyFont="1" applyFill="1" applyBorder="1" applyAlignment="1">
      <alignment horizontal="left" vertical="center" wrapText="1"/>
    </xf>
    <xf numFmtId="2" fontId="51" fillId="6" borderId="14" xfId="3" quotePrefix="1" applyNumberFormat="1" applyFont="1" applyFill="1" applyBorder="1" applyAlignment="1">
      <alignment horizontal="left" wrapText="1"/>
    </xf>
    <xf numFmtId="2" fontId="53" fillId="7" borderId="14" xfId="3" quotePrefix="1" applyNumberFormat="1" applyFont="1" applyFill="1" applyBorder="1" applyAlignment="1">
      <alignment horizontal="left" wrapText="1"/>
    </xf>
    <xf numFmtId="4" fontId="30" fillId="7" borderId="34" xfId="11" quotePrefix="1" applyNumberFormat="1" applyFont="1" applyFill="1" applyBorder="1" applyAlignment="1">
      <alignment horizontal="right" vertical="center" wrapText="1"/>
    </xf>
    <xf numFmtId="4" fontId="6" fillId="7" borderId="35" xfId="11" quotePrefix="1" applyNumberFormat="1" applyFont="1" applyFill="1" applyBorder="1" applyAlignment="1">
      <alignment horizontal="left" vertical="center" wrapText="1"/>
    </xf>
    <xf numFmtId="1" fontId="24" fillId="7" borderId="35" xfId="2" quotePrefix="1" applyNumberFormat="1" applyFont="1" applyFill="1" applyBorder="1" applyAlignment="1">
      <alignment horizontal="center" vertical="center" wrapText="1"/>
    </xf>
    <xf numFmtId="2" fontId="24" fillId="7" borderId="35" xfId="2" quotePrefix="1" applyNumberFormat="1" applyFont="1" applyFill="1" applyBorder="1" applyAlignment="1">
      <alignment horizontal="center" vertical="center" wrapText="1"/>
    </xf>
    <xf numFmtId="2" fontId="24" fillId="7" borderId="35" xfId="2" quotePrefix="1" applyNumberFormat="1" applyFont="1" applyFill="1" applyBorder="1" applyAlignment="1">
      <alignment horizontal="left" wrapText="1"/>
    </xf>
    <xf numFmtId="164" fontId="24" fillId="7" borderId="35" xfId="3" quotePrefix="1" applyFont="1" applyFill="1" applyBorder="1" applyAlignment="1">
      <alignment horizontal="left" wrapText="1"/>
    </xf>
    <xf numFmtId="164" fontId="24" fillId="7" borderId="35" xfId="3" quotePrefix="1" applyFont="1" applyFill="1" applyBorder="1" applyAlignment="1">
      <alignment horizontal="left"/>
    </xf>
    <xf numFmtId="164" fontId="23" fillId="7" borderId="21" xfId="3" quotePrefix="1" applyFont="1" applyFill="1" applyBorder="1" applyAlignment="1">
      <alignment horizontal="left"/>
    </xf>
    <xf numFmtId="2" fontId="51" fillId="7" borderId="14" xfId="3" quotePrefix="1" applyNumberFormat="1" applyFont="1" applyFill="1" applyBorder="1" applyAlignment="1">
      <alignment horizontal="left" wrapText="1"/>
    </xf>
    <xf numFmtId="166" fontId="50" fillId="8" borderId="14" xfId="11" applyNumberFormat="1" applyFont="1" applyFill="1" applyBorder="1" applyAlignment="1">
      <alignment horizontal="left" vertical="center"/>
    </xf>
    <xf numFmtId="4" fontId="6" fillId="8" borderId="34" xfId="11" applyNumberFormat="1" applyFont="1" applyFill="1" applyBorder="1" applyAlignment="1">
      <alignment horizontal="left" vertical="center"/>
    </xf>
    <xf numFmtId="4" fontId="2" fillId="8" borderId="34" xfId="6" applyNumberFormat="1" applyFont="1" applyFill="1" applyBorder="1" applyAlignment="1">
      <alignment horizontal="left" vertical="top"/>
    </xf>
    <xf numFmtId="1" fontId="2" fillId="8" borderId="34" xfId="6" applyNumberFormat="1" applyFont="1" applyFill="1" applyBorder="1" applyAlignment="1">
      <alignment horizontal="center" vertical="center"/>
    </xf>
    <xf numFmtId="49" fontId="2" fillId="8" borderId="21" xfId="6" applyNumberFormat="1" applyFont="1" applyFill="1" applyBorder="1" applyAlignment="1">
      <alignment horizontal="center" vertical="center"/>
    </xf>
    <xf numFmtId="49" fontId="2" fillId="8" borderId="21" xfId="6" applyNumberFormat="1" applyFont="1" applyFill="1" applyBorder="1" applyAlignment="1">
      <alignment horizontal="left" vertical="top"/>
    </xf>
    <xf numFmtId="164" fontId="2" fillId="8" borderId="21" xfId="3" applyFont="1" applyFill="1" applyBorder="1" applyAlignment="1">
      <alignment horizontal="left" vertical="top"/>
    </xf>
    <xf numFmtId="164" fontId="3" fillId="8" borderId="40" xfId="3" applyFont="1" applyFill="1" applyBorder="1" applyAlignment="1">
      <alignment horizontal="left" vertical="top"/>
    </xf>
    <xf numFmtId="166" fontId="23" fillId="8" borderId="14" xfId="11" applyNumberFormat="1" applyFont="1" applyFill="1" applyBorder="1" applyAlignment="1">
      <alignment horizontal="left" vertical="center"/>
    </xf>
    <xf numFmtId="4" fontId="23" fillId="8" borderId="34" xfId="11" applyNumberFormat="1" applyFont="1" applyFill="1" applyBorder="1" applyAlignment="1">
      <alignment horizontal="left" vertical="center"/>
    </xf>
    <xf numFmtId="4" fontId="30" fillId="8" borderId="34" xfId="11" applyNumberFormat="1" applyFont="1" applyFill="1" applyBorder="1" applyAlignment="1">
      <alignment horizontal="left" vertical="center" wrapText="1"/>
    </xf>
    <xf numFmtId="1" fontId="23" fillId="8" borderId="14" xfId="11" quotePrefix="1" applyNumberFormat="1" applyFont="1" applyFill="1" applyBorder="1" applyAlignment="1">
      <alignment horizontal="left" vertical="center" wrapText="1"/>
    </xf>
    <xf numFmtId="4" fontId="23" fillId="8" borderId="34" xfId="11" quotePrefix="1" applyNumberFormat="1" applyFont="1" applyFill="1" applyBorder="1" applyAlignment="1">
      <alignment horizontal="left" vertical="center" wrapText="1"/>
    </xf>
    <xf numFmtId="1" fontId="24" fillId="8" borderId="34" xfId="2" quotePrefix="1" applyNumberFormat="1" applyFont="1" applyFill="1" applyBorder="1" applyAlignment="1">
      <alignment horizontal="center" vertical="center" wrapText="1"/>
    </xf>
    <xf numFmtId="1" fontId="24" fillId="8" borderId="21" xfId="11" quotePrefix="1" applyNumberFormat="1" applyFont="1" applyFill="1" applyBorder="1" applyAlignment="1">
      <alignment horizontal="center" vertical="center" wrapText="1"/>
    </xf>
    <xf numFmtId="1" fontId="24" fillId="8" borderId="21" xfId="11" quotePrefix="1" applyNumberFormat="1" applyFont="1" applyFill="1" applyBorder="1" applyAlignment="1">
      <alignment horizontal="left" wrapText="1"/>
    </xf>
    <xf numFmtId="164" fontId="24" fillId="8" borderId="14" xfId="3" quotePrefix="1" applyFont="1" applyFill="1" applyBorder="1" applyAlignment="1">
      <alignment horizontal="left" wrapText="1"/>
    </xf>
    <xf numFmtId="164" fontId="24" fillId="8" borderId="21" xfId="3" quotePrefix="1" applyFont="1" applyFill="1" applyBorder="1" applyAlignment="1">
      <alignment horizontal="left"/>
    </xf>
    <xf numFmtId="1" fontId="24" fillId="8" borderId="14" xfId="11" quotePrefix="1" applyNumberFormat="1" applyFont="1" applyFill="1" applyBorder="1" applyAlignment="1">
      <alignment horizontal="left" vertical="center" wrapText="1"/>
    </xf>
    <xf numFmtId="4" fontId="30" fillId="8" borderId="35" xfId="11" applyNumberFormat="1" applyFont="1" applyFill="1" applyBorder="1" applyAlignment="1">
      <alignment horizontal="left" vertical="center" wrapText="1"/>
    </xf>
    <xf numFmtId="1" fontId="24" fillId="8" borderId="14" xfId="11" quotePrefix="1" applyNumberFormat="1" applyFont="1" applyFill="1" applyBorder="1" applyAlignment="1">
      <alignment horizontal="center" vertical="center" wrapText="1"/>
    </xf>
    <xf numFmtId="1" fontId="32" fillId="8" borderId="34" xfId="6" applyNumberFormat="1" applyFont="1" applyFill="1" applyBorder="1" applyAlignment="1">
      <alignment horizontal="center" vertical="center"/>
    </xf>
    <xf numFmtId="1" fontId="23" fillId="8" borderId="20" xfId="11" quotePrefix="1" applyNumberFormat="1" applyFont="1" applyFill="1" applyBorder="1" applyAlignment="1">
      <alignment horizontal="left" vertical="center" wrapText="1"/>
    </xf>
    <xf numFmtId="4" fontId="30" fillId="8" borderId="35" xfId="11" quotePrefix="1" applyNumberFormat="1" applyFont="1" applyFill="1" applyBorder="1" applyAlignment="1">
      <alignment horizontal="right" vertical="center" wrapText="1"/>
    </xf>
    <xf numFmtId="4" fontId="6" fillId="8" borderId="35" xfId="11" quotePrefix="1" applyNumberFormat="1" applyFont="1" applyFill="1" applyBorder="1" applyAlignment="1">
      <alignment horizontal="left" vertical="center" wrapText="1"/>
    </xf>
    <xf numFmtId="1" fontId="24" fillId="8" borderId="35" xfId="2" quotePrefix="1" applyNumberFormat="1" applyFont="1" applyFill="1" applyBorder="1" applyAlignment="1">
      <alignment horizontal="center" vertical="center" wrapText="1"/>
    </xf>
    <xf numFmtId="2" fontId="24" fillId="8" borderId="35" xfId="2" quotePrefix="1" applyNumberFormat="1" applyFont="1" applyFill="1" applyBorder="1" applyAlignment="1">
      <alignment horizontal="center" vertical="center" wrapText="1"/>
    </xf>
    <xf numFmtId="2" fontId="24" fillId="8" borderId="35" xfId="2" quotePrefix="1" applyNumberFormat="1" applyFont="1" applyFill="1" applyBorder="1" applyAlignment="1">
      <alignment horizontal="left" wrapText="1"/>
    </xf>
    <xf numFmtId="164" fontId="24" fillId="8" borderId="35" xfId="3" quotePrefix="1" applyFont="1" applyFill="1" applyBorder="1" applyAlignment="1">
      <alignment horizontal="left" wrapText="1"/>
    </xf>
    <xf numFmtId="164" fontId="24" fillId="8" borderId="35" xfId="3" quotePrefix="1" applyFont="1" applyFill="1" applyBorder="1" applyAlignment="1">
      <alignment horizontal="left"/>
    </xf>
    <xf numFmtId="2" fontId="51" fillId="8" borderId="20" xfId="3" quotePrefix="1" applyNumberFormat="1" applyFont="1" applyFill="1" applyBorder="1" applyAlignment="1">
      <alignment horizontal="left" wrapText="1"/>
    </xf>
    <xf numFmtId="2" fontId="6" fillId="8" borderId="20" xfId="3" quotePrefix="1" applyNumberFormat="1" applyFont="1" applyFill="1" applyBorder="1" applyAlignment="1">
      <alignment horizontal="right" wrapText="1"/>
    </xf>
    <xf numFmtId="2" fontId="23" fillId="8" borderId="20" xfId="3" quotePrefix="1" applyNumberFormat="1" applyFont="1" applyFill="1" applyBorder="1" applyAlignment="1">
      <alignment horizontal="left" vertical="top" wrapText="1"/>
    </xf>
    <xf numFmtId="164" fontId="23" fillId="8" borderId="35" xfId="3" quotePrefix="1" applyFont="1" applyFill="1" applyBorder="1" applyAlignment="1">
      <alignment horizontal="left"/>
    </xf>
    <xf numFmtId="2" fontId="51" fillId="8" borderId="35" xfId="3" quotePrefix="1" applyNumberFormat="1" applyFont="1" applyFill="1" applyBorder="1" applyAlignment="1">
      <alignment horizontal="left" wrapText="1"/>
    </xf>
    <xf numFmtId="4" fontId="30" fillId="8" borderId="34" xfId="11" quotePrefix="1" applyNumberFormat="1" applyFont="1" applyFill="1" applyBorder="1" applyAlignment="1">
      <alignment horizontal="right" vertical="center" wrapText="1"/>
    </xf>
    <xf numFmtId="164" fontId="23" fillId="8" borderId="21" xfId="3" quotePrefix="1" applyFont="1" applyFill="1" applyBorder="1" applyAlignment="1">
      <alignment horizontal="left"/>
    </xf>
    <xf numFmtId="2" fontId="51" fillId="8" borderId="38" xfId="3" quotePrefix="1" applyNumberFormat="1" applyFont="1" applyFill="1" applyBorder="1" applyAlignment="1">
      <alignment horizontal="left" wrapText="1"/>
    </xf>
    <xf numFmtId="4" fontId="30" fillId="8" borderId="38" xfId="11" quotePrefix="1" applyNumberFormat="1" applyFont="1" applyFill="1" applyBorder="1" applyAlignment="1">
      <alignment horizontal="right" vertical="center" wrapText="1"/>
    </xf>
    <xf numFmtId="4" fontId="6" fillId="8" borderId="38" xfId="11" quotePrefix="1" applyNumberFormat="1" applyFont="1" applyFill="1" applyBorder="1" applyAlignment="1">
      <alignment horizontal="left" vertical="center" wrapText="1"/>
    </xf>
    <xf numFmtId="1" fontId="24" fillId="8" borderId="38" xfId="2" quotePrefix="1" applyNumberFormat="1" applyFont="1" applyFill="1" applyBorder="1" applyAlignment="1">
      <alignment horizontal="center" vertical="center" wrapText="1"/>
    </xf>
    <xf numFmtId="2" fontId="24" fillId="8" borderId="38" xfId="2" quotePrefix="1" applyNumberFormat="1" applyFont="1" applyFill="1" applyBorder="1" applyAlignment="1">
      <alignment horizontal="center" vertical="center" wrapText="1"/>
    </xf>
    <xf numFmtId="2" fontId="24" fillId="8" borderId="38" xfId="2" quotePrefix="1" applyNumberFormat="1" applyFont="1" applyFill="1" applyBorder="1" applyAlignment="1">
      <alignment horizontal="left" wrapText="1"/>
    </xf>
    <xf numFmtId="164" fontId="24" fillId="8" borderId="38" xfId="3" quotePrefix="1" applyFont="1" applyFill="1" applyBorder="1" applyAlignment="1">
      <alignment horizontal="left" wrapText="1"/>
    </xf>
    <xf numFmtId="164" fontId="24" fillId="8" borderId="38" xfId="3" quotePrefix="1" applyFont="1" applyFill="1" applyBorder="1" applyAlignment="1">
      <alignment horizontal="left"/>
    </xf>
    <xf numFmtId="164" fontId="23" fillId="8" borderId="39" xfId="3" quotePrefix="1" applyFont="1" applyFill="1" applyBorder="1" applyAlignment="1">
      <alignment horizontal="left"/>
    </xf>
    <xf numFmtId="166" fontId="23" fillId="9" borderId="14" xfId="11" applyNumberFormat="1" applyFont="1" applyFill="1" applyBorder="1" applyAlignment="1">
      <alignment horizontal="center" vertical="center" wrapText="1"/>
    </xf>
    <xf numFmtId="4" fontId="23" fillId="9" borderId="0" xfId="11" applyNumberFormat="1" applyFont="1" applyFill="1" applyAlignment="1">
      <alignment horizontal="center" vertical="center" wrapText="1"/>
    </xf>
    <xf numFmtId="4" fontId="23" fillId="9" borderId="20" xfId="11" applyNumberFormat="1" applyFont="1" applyFill="1" applyBorder="1" applyAlignment="1">
      <alignment horizontal="center" vertical="center" wrapText="1"/>
    </xf>
    <xf numFmtId="1" fontId="23" fillId="9" borderId="14" xfId="11" applyNumberFormat="1" applyFont="1" applyFill="1" applyBorder="1" applyAlignment="1">
      <alignment horizontal="center" vertical="center" wrapText="1"/>
    </xf>
    <xf numFmtId="166" fontId="23" fillId="9" borderId="21" xfId="11" applyNumberFormat="1" applyFont="1" applyFill="1" applyBorder="1" applyAlignment="1">
      <alignment horizontal="center" vertical="center" wrapText="1"/>
    </xf>
    <xf numFmtId="164" fontId="23" fillId="9" borderId="14" xfId="3" applyFont="1" applyFill="1" applyBorder="1" applyAlignment="1">
      <alignment horizontal="center" vertical="center"/>
    </xf>
    <xf numFmtId="164" fontId="23" fillId="9" borderId="21" xfId="3" applyFont="1" applyFill="1" applyBorder="1" applyAlignment="1">
      <alignment horizontal="center" vertical="center"/>
    </xf>
    <xf numFmtId="166" fontId="24" fillId="9" borderId="14" xfId="11" applyNumberFormat="1" applyFont="1" applyFill="1" applyBorder="1" applyAlignment="1">
      <alignment horizontal="left" vertical="center" wrapText="1"/>
    </xf>
    <xf numFmtId="4" fontId="24" fillId="9" borderId="0" xfId="11" applyNumberFormat="1" applyFont="1" applyFill="1" applyAlignment="1">
      <alignment horizontal="left" vertical="center" wrapText="1"/>
    </xf>
    <xf numFmtId="4" fontId="30" fillId="9" borderId="20" xfId="11" applyNumberFormat="1" applyFont="1" applyFill="1" applyBorder="1" applyAlignment="1">
      <alignment horizontal="left" vertical="center" wrapText="1"/>
    </xf>
    <xf numFmtId="1" fontId="24" fillId="9" borderId="14" xfId="11" applyNumberFormat="1" applyFont="1" applyFill="1" applyBorder="1" applyAlignment="1">
      <alignment horizontal="center" vertical="center" wrapText="1"/>
    </xf>
    <xf numFmtId="166" fontId="24" fillId="9" borderId="14" xfId="11" applyNumberFormat="1" applyFont="1" applyFill="1" applyBorder="1" applyAlignment="1">
      <alignment horizontal="center" vertical="center" wrapText="1"/>
    </xf>
    <xf numFmtId="166" fontId="24" fillId="9" borderId="21" xfId="11" applyNumberFormat="1" applyFont="1" applyFill="1" applyBorder="1" applyAlignment="1">
      <alignment horizontal="center" vertical="center" wrapText="1"/>
    </xf>
    <xf numFmtId="164" fontId="24" fillId="9" borderId="14" xfId="3" applyFont="1" applyFill="1" applyBorder="1" applyAlignment="1">
      <alignment horizontal="center" vertical="center" wrapText="1"/>
    </xf>
    <xf numFmtId="164" fontId="24" fillId="9" borderId="21" xfId="3" applyFont="1" applyFill="1" applyBorder="1" applyAlignment="1">
      <alignment horizontal="center" vertical="center" wrapText="1"/>
    </xf>
    <xf numFmtId="164" fontId="23" fillId="9" borderId="21" xfId="3" applyFont="1" applyFill="1" applyBorder="1" applyAlignment="1">
      <alignment horizontal="center" vertical="center" wrapText="1"/>
    </xf>
    <xf numFmtId="1" fontId="50" fillId="9" borderId="14" xfId="11" quotePrefix="1" applyNumberFormat="1" applyFont="1" applyFill="1" applyBorder="1" applyAlignment="1">
      <alignment horizontal="left" vertical="center" wrapText="1"/>
    </xf>
    <xf numFmtId="4" fontId="23" fillId="9" borderId="34" xfId="11" quotePrefix="1" applyNumberFormat="1" applyFont="1" applyFill="1" applyBorder="1" applyAlignment="1">
      <alignment horizontal="left" vertical="center" wrapText="1"/>
    </xf>
    <xf numFmtId="4" fontId="30" fillId="9" borderId="34" xfId="11" applyNumberFormat="1" applyFont="1" applyFill="1" applyBorder="1" applyAlignment="1">
      <alignment horizontal="left" vertical="center" wrapText="1"/>
    </xf>
    <xf numFmtId="1" fontId="23" fillId="9" borderId="21" xfId="11" applyNumberFormat="1" applyFont="1" applyFill="1" applyBorder="1" applyAlignment="1">
      <alignment horizontal="center" vertical="center" wrapText="1"/>
    </xf>
    <xf numFmtId="164" fontId="23" fillId="9" borderId="14" xfId="3" applyFont="1" applyFill="1" applyBorder="1" applyAlignment="1">
      <alignment horizontal="center" vertical="center" wrapText="1"/>
    </xf>
    <xf numFmtId="1" fontId="23" fillId="9" borderId="14" xfId="11" quotePrefix="1" applyNumberFormat="1" applyFont="1" applyFill="1" applyBorder="1" applyAlignment="1">
      <alignment horizontal="left" vertical="center" wrapText="1"/>
    </xf>
    <xf numFmtId="166" fontId="53" fillId="6" borderId="14" xfId="3" quotePrefix="1" applyNumberFormat="1" applyFont="1" applyFill="1" applyBorder="1" applyAlignment="1">
      <alignment horizontal="left" vertical="center" wrapText="1"/>
    </xf>
    <xf numFmtId="49" fontId="2" fillId="0" borderId="10" xfId="6" applyNumberFormat="1" applyFont="1" applyBorder="1" applyAlignment="1">
      <alignment horizontal="left" vertical="top"/>
    </xf>
    <xf numFmtId="1" fontId="50" fillId="10" borderId="14" xfId="11" quotePrefix="1" applyNumberFormat="1" applyFont="1" applyFill="1" applyBorder="1" applyAlignment="1">
      <alignment horizontal="left" vertical="center" wrapText="1"/>
    </xf>
    <xf numFmtId="4" fontId="30" fillId="10" borderId="34" xfId="11" quotePrefix="1" applyNumberFormat="1" applyFont="1" applyFill="1" applyBorder="1" applyAlignment="1">
      <alignment horizontal="right" vertical="center" wrapText="1"/>
    </xf>
    <xf numFmtId="4" fontId="6" fillId="10" borderId="35" xfId="11" quotePrefix="1" applyNumberFormat="1" applyFont="1" applyFill="1" applyBorder="1" applyAlignment="1">
      <alignment horizontal="left" vertical="center" wrapText="1"/>
    </xf>
    <xf numFmtId="1" fontId="24" fillId="10" borderId="35" xfId="2" quotePrefix="1" applyNumberFormat="1" applyFont="1" applyFill="1" applyBorder="1" applyAlignment="1">
      <alignment horizontal="center" vertical="center" wrapText="1"/>
    </xf>
    <xf numFmtId="2" fontId="24" fillId="10" borderId="35" xfId="2" quotePrefix="1" applyNumberFormat="1" applyFont="1" applyFill="1" applyBorder="1" applyAlignment="1">
      <alignment horizontal="center" vertical="center" wrapText="1"/>
    </xf>
    <xf numFmtId="2" fontId="24" fillId="10" borderId="35" xfId="2" quotePrefix="1" applyNumberFormat="1" applyFont="1" applyFill="1" applyBorder="1" applyAlignment="1">
      <alignment horizontal="left" wrapText="1"/>
    </xf>
    <xf numFmtId="164" fontId="24" fillId="10" borderId="35" xfId="3" quotePrefix="1" applyFont="1" applyFill="1" applyBorder="1" applyAlignment="1">
      <alignment horizontal="left" wrapText="1"/>
    </xf>
    <xf numFmtId="164" fontId="24" fillId="10" borderId="35" xfId="3" quotePrefix="1" applyFont="1" applyFill="1" applyBorder="1" applyAlignment="1">
      <alignment horizontal="left"/>
    </xf>
    <xf numFmtId="164" fontId="23" fillId="10" borderId="37" xfId="3" quotePrefix="1" applyFont="1" applyFill="1" applyBorder="1" applyAlignment="1">
      <alignment horizontal="left"/>
    </xf>
    <xf numFmtId="164" fontId="23" fillId="10" borderId="21" xfId="3" quotePrefix="1" applyFont="1" applyFill="1" applyBorder="1" applyAlignment="1">
      <alignment horizontal="left"/>
    </xf>
    <xf numFmtId="1" fontId="24" fillId="10" borderId="21" xfId="11" quotePrefix="1" applyNumberFormat="1" applyFont="1" applyFill="1" applyBorder="1" applyAlignment="1">
      <alignment horizontal="left" vertical="center"/>
    </xf>
    <xf numFmtId="2" fontId="24" fillId="10" borderId="35" xfId="2" quotePrefix="1" applyNumberFormat="1" applyFont="1" applyFill="1" applyBorder="1" applyAlignment="1">
      <alignment horizontal="left" vertical="center" wrapText="1"/>
    </xf>
    <xf numFmtId="164" fontId="24" fillId="10" borderId="35" xfId="3" quotePrefix="1" applyFont="1" applyFill="1" applyBorder="1" applyAlignment="1">
      <alignment horizontal="center" vertical="center" wrapText="1"/>
    </xf>
    <xf numFmtId="164" fontId="24" fillId="10" borderId="35" xfId="3" quotePrefix="1" applyFont="1" applyFill="1" applyBorder="1" applyAlignment="1">
      <alignment horizontal="left" vertical="center"/>
    </xf>
    <xf numFmtId="164" fontId="23" fillId="10" borderId="21" xfId="3" quotePrefix="1" applyFont="1" applyFill="1" applyBorder="1" applyAlignment="1">
      <alignment horizontal="left" vertical="center"/>
    </xf>
    <xf numFmtId="2" fontId="51" fillId="10" borderId="14" xfId="3" quotePrefix="1" applyNumberFormat="1" applyFont="1" applyFill="1" applyBorder="1" applyAlignment="1">
      <alignment horizontal="left" wrapText="1"/>
    </xf>
    <xf numFmtId="4" fontId="30" fillId="10" borderId="14" xfId="11" quotePrefix="1" applyNumberFormat="1" applyFont="1" applyFill="1" applyBorder="1" applyAlignment="1">
      <alignment horizontal="right" vertical="center" wrapText="1"/>
    </xf>
    <xf numFmtId="4" fontId="6" fillId="10" borderId="14" xfId="11" quotePrefix="1" applyNumberFormat="1" applyFont="1" applyFill="1" applyBorder="1" applyAlignment="1">
      <alignment horizontal="left" vertical="center" wrapText="1"/>
    </xf>
    <xf numFmtId="1" fontId="24" fillId="10" borderId="14" xfId="2" quotePrefix="1" applyNumberFormat="1" applyFont="1" applyFill="1" applyBorder="1" applyAlignment="1">
      <alignment horizontal="center" vertical="center" wrapText="1"/>
    </xf>
    <xf numFmtId="2" fontId="24" fillId="10" borderId="14" xfId="2" quotePrefix="1" applyNumberFormat="1" applyFont="1" applyFill="1" applyBorder="1" applyAlignment="1">
      <alignment horizontal="center" vertical="center" wrapText="1"/>
    </xf>
    <xf numFmtId="2" fontId="24" fillId="10" borderId="14" xfId="2" quotePrefix="1" applyNumberFormat="1" applyFont="1" applyFill="1" applyBorder="1" applyAlignment="1">
      <alignment horizontal="left" vertical="center" wrapText="1"/>
    </xf>
    <xf numFmtId="164" fontId="24" fillId="10" borderId="14" xfId="3" quotePrefix="1" applyFont="1" applyFill="1" applyBorder="1" applyAlignment="1">
      <alignment horizontal="left" vertical="center"/>
    </xf>
    <xf numFmtId="164" fontId="2" fillId="10" borderId="14" xfId="3" applyFont="1" applyFill="1" applyBorder="1" applyAlignment="1">
      <alignment horizontal="left" vertical="top"/>
    </xf>
    <xf numFmtId="164" fontId="23" fillId="10" borderId="14" xfId="3" quotePrefix="1" applyFont="1" applyFill="1" applyBorder="1" applyAlignment="1">
      <alignment horizontal="left" vertical="center"/>
    </xf>
    <xf numFmtId="164" fontId="23" fillId="0" borderId="14" xfId="3" quotePrefix="1" applyFont="1" applyFill="1" applyBorder="1" applyAlignment="1">
      <alignment horizontal="left" vertical="center"/>
    </xf>
    <xf numFmtId="164" fontId="3" fillId="0" borderId="8" xfId="3" quotePrefix="1" applyFont="1" applyFill="1" applyBorder="1" applyAlignment="1">
      <alignment horizontal="left" vertical="top" wrapText="1"/>
    </xf>
    <xf numFmtId="166" fontId="50" fillId="0" borderId="23" xfId="11" applyNumberFormat="1" applyFont="1" applyBorder="1" applyAlignment="1">
      <alignment horizontal="center" vertical="center" wrapText="1"/>
    </xf>
    <xf numFmtId="4" fontId="50" fillId="0" borderId="23" xfId="11" applyNumberFormat="1" applyFont="1" applyBorder="1" applyAlignment="1">
      <alignment horizontal="center" vertical="center" wrapText="1"/>
    </xf>
    <xf numFmtId="0" fontId="55" fillId="0" borderId="23" xfId="0" applyFont="1" applyBorder="1" applyAlignment="1">
      <alignment horizontal="center" vertical="center" wrapText="1"/>
    </xf>
    <xf numFmtId="0" fontId="56" fillId="0" borderId="23" xfId="0" applyFont="1" applyBorder="1" applyAlignment="1">
      <alignment horizontal="center" vertical="center" wrapText="1"/>
    </xf>
    <xf numFmtId="164" fontId="50" fillId="0" borderId="23" xfId="3" applyFont="1" applyFill="1" applyBorder="1" applyAlignment="1">
      <alignment horizontal="center" vertical="center" wrapText="1"/>
    </xf>
    <xf numFmtId="164" fontId="50" fillId="0" borderId="24" xfId="3" applyFont="1" applyFill="1" applyBorder="1" applyAlignment="1">
      <alignment horizontal="center" vertical="center" wrapText="1"/>
    </xf>
    <xf numFmtId="164" fontId="57" fillId="0" borderId="26" xfId="3" applyFont="1" applyFill="1" applyBorder="1" applyAlignment="1">
      <alignment horizontal="center" vertical="center" wrapText="1"/>
    </xf>
    <xf numFmtId="1" fontId="23" fillId="7" borderId="47" xfId="11" applyNumberFormat="1" applyFont="1" applyFill="1" applyBorder="1" applyAlignment="1">
      <alignment horizontal="left" vertical="center"/>
    </xf>
    <xf numFmtId="4" fontId="2" fillId="7" borderId="45" xfId="6" applyNumberFormat="1" applyFont="1" applyFill="1" applyBorder="1" applyAlignment="1">
      <alignment horizontal="left" vertical="top"/>
    </xf>
    <xf numFmtId="1" fontId="23" fillId="7" borderId="45" xfId="11" applyNumberFormat="1" applyFont="1" applyFill="1" applyBorder="1" applyAlignment="1">
      <alignment horizontal="center" vertical="center"/>
    </xf>
    <xf numFmtId="1" fontId="23" fillId="7" borderId="45" xfId="11" applyNumberFormat="1" applyFont="1" applyFill="1" applyBorder="1" applyAlignment="1">
      <alignment horizontal="left" vertical="center"/>
    </xf>
    <xf numFmtId="1" fontId="23" fillId="7" borderId="20" xfId="11" applyNumberFormat="1" applyFont="1" applyFill="1" applyBorder="1" applyAlignment="1">
      <alignment horizontal="left" vertical="center"/>
    </xf>
    <xf numFmtId="4" fontId="2" fillId="7" borderId="0" xfId="6" applyNumberFormat="1" applyFont="1" applyFill="1" applyAlignment="1">
      <alignment horizontal="left" vertical="top"/>
    </xf>
    <xf numFmtId="1" fontId="23" fillId="7" borderId="0" xfId="11" applyNumberFormat="1" applyFont="1" applyFill="1" applyAlignment="1">
      <alignment horizontal="center" vertical="center"/>
    </xf>
    <xf numFmtId="4" fontId="23" fillId="7" borderId="0" xfId="11" applyNumberFormat="1" applyFont="1" applyFill="1" applyAlignment="1">
      <alignment horizontal="left" vertical="center"/>
    </xf>
    <xf numFmtId="1" fontId="23" fillId="7" borderId="0" xfId="11" applyNumberFormat="1" applyFont="1" applyFill="1" applyAlignment="1">
      <alignment horizontal="left" vertical="center"/>
    </xf>
    <xf numFmtId="164" fontId="2" fillId="7" borderId="21" xfId="3" applyFont="1" applyFill="1" applyBorder="1" applyAlignment="1">
      <alignment horizontal="left" vertical="top"/>
    </xf>
    <xf numFmtId="1" fontId="31" fillId="7" borderId="20" xfId="11" applyNumberFormat="1" applyFont="1" applyFill="1" applyBorder="1" applyAlignment="1">
      <alignment horizontal="left" vertical="center"/>
    </xf>
    <xf numFmtId="4" fontId="31" fillId="7" borderId="0" xfId="11" applyNumberFormat="1" applyFont="1" applyFill="1" applyAlignment="1">
      <alignment horizontal="left" vertical="center"/>
    </xf>
    <xf numFmtId="1" fontId="23" fillId="7" borderId="49" xfId="11" applyNumberFormat="1" applyFont="1" applyFill="1" applyBorder="1" applyAlignment="1">
      <alignment horizontal="left" vertical="center"/>
    </xf>
    <xf numFmtId="4" fontId="2" fillId="7" borderId="46" xfId="6" applyNumberFormat="1" applyFont="1" applyFill="1" applyBorder="1" applyAlignment="1">
      <alignment horizontal="left" vertical="top"/>
    </xf>
    <xf numFmtId="1" fontId="23" fillId="7" borderId="46" xfId="11" applyNumberFormat="1" applyFont="1" applyFill="1" applyBorder="1" applyAlignment="1">
      <alignment horizontal="center" vertical="center"/>
    </xf>
    <xf numFmtId="4" fontId="23" fillId="7" borderId="46" xfId="11" applyNumberFormat="1" applyFont="1" applyFill="1" applyBorder="1" applyAlignment="1">
      <alignment horizontal="left" vertical="center"/>
    </xf>
    <xf numFmtId="1" fontId="23" fillId="7" borderId="46" xfId="11" applyNumberFormat="1" applyFont="1" applyFill="1" applyBorder="1" applyAlignment="1">
      <alignment horizontal="left" vertical="center"/>
    </xf>
    <xf numFmtId="164" fontId="2" fillId="7" borderId="39" xfId="3" applyFont="1" applyFill="1" applyBorder="1" applyAlignment="1">
      <alignment horizontal="left" vertical="top"/>
    </xf>
    <xf numFmtId="4" fontId="30" fillId="6" borderId="14" xfId="11" quotePrefix="1" applyNumberFormat="1" applyFont="1" applyFill="1" applyBorder="1" applyAlignment="1">
      <alignment horizontal="right" vertical="center" wrapText="1"/>
    </xf>
    <xf numFmtId="2" fontId="24" fillId="6" borderId="50" xfId="2" quotePrefix="1" applyNumberFormat="1" applyFont="1" applyFill="1" applyBorder="1" applyAlignment="1">
      <alignment horizontal="center" vertical="center" wrapText="1"/>
    </xf>
    <xf numFmtId="1" fontId="23" fillId="10" borderId="14" xfId="11" quotePrefix="1" applyNumberFormat="1" applyFont="1" applyFill="1" applyBorder="1" applyAlignment="1">
      <alignment horizontal="left" vertical="center" wrapText="1"/>
    </xf>
    <xf numFmtId="166" fontId="52" fillId="6" borderId="14" xfId="3" quotePrefix="1" applyNumberFormat="1" applyFont="1" applyFill="1" applyBorder="1" applyAlignment="1">
      <alignment horizontal="left" vertical="center" wrapText="1"/>
    </xf>
    <xf numFmtId="166" fontId="23" fillId="10" borderId="0" xfId="11" quotePrefix="1" applyNumberFormat="1" applyFont="1" applyFill="1" applyAlignment="1">
      <alignment horizontal="right" vertical="center"/>
    </xf>
    <xf numFmtId="1" fontId="2" fillId="10" borderId="9" xfId="6" applyNumberFormat="1" applyFont="1" applyFill="1" applyBorder="1" applyAlignment="1">
      <alignment horizontal="center" vertical="center"/>
    </xf>
    <xf numFmtId="0" fontId="59" fillId="6" borderId="14" xfId="0" applyFont="1" applyFill="1" applyBorder="1" applyAlignment="1">
      <alignment wrapText="1"/>
    </xf>
    <xf numFmtId="0" fontId="59" fillId="6" borderId="14" xfId="0" applyFont="1" applyFill="1" applyBorder="1"/>
    <xf numFmtId="0" fontId="59" fillId="10" borderId="14" xfId="0" applyFont="1" applyFill="1" applyBorder="1" applyAlignment="1">
      <alignment vertical="center" wrapText="1"/>
    </xf>
    <xf numFmtId="0" fontId="59" fillId="10" borderId="14" xfId="0" applyFont="1" applyFill="1" applyBorder="1" applyAlignment="1">
      <alignment wrapText="1"/>
    </xf>
    <xf numFmtId="0" fontId="62" fillId="10" borderId="14" xfId="0" applyFont="1" applyFill="1" applyBorder="1" applyAlignment="1">
      <alignment wrapText="1"/>
    </xf>
    <xf numFmtId="0" fontId="59" fillId="10" borderId="14" xfId="0" applyFont="1" applyFill="1" applyBorder="1"/>
    <xf numFmtId="0" fontId="63" fillId="10" borderId="14" xfId="0" applyFont="1" applyFill="1" applyBorder="1" applyAlignment="1">
      <alignment wrapText="1"/>
    </xf>
    <xf numFmtId="0" fontId="62" fillId="10" borderId="14" xfId="0" applyFont="1" applyFill="1" applyBorder="1"/>
    <xf numFmtId="2" fontId="53" fillId="11" borderId="14" xfId="3" quotePrefix="1" applyNumberFormat="1" applyFont="1" applyFill="1" applyBorder="1" applyAlignment="1">
      <alignment horizontal="left" wrapText="1"/>
    </xf>
    <xf numFmtId="4" fontId="30" fillId="11" borderId="34" xfId="11" quotePrefix="1" applyNumberFormat="1" applyFont="1" applyFill="1" applyBorder="1" applyAlignment="1">
      <alignment horizontal="right" vertical="center" wrapText="1"/>
    </xf>
    <xf numFmtId="4" fontId="6" fillId="11" borderId="35" xfId="11" quotePrefix="1" applyNumberFormat="1" applyFont="1" applyFill="1" applyBorder="1" applyAlignment="1">
      <alignment horizontal="left" vertical="center" wrapText="1"/>
    </xf>
    <xf numFmtId="1" fontId="24" fillId="11" borderId="35" xfId="2" quotePrefix="1" applyNumberFormat="1" applyFont="1" applyFill="1" applyBorder="1" applyAlignment="1">
      <alignment horizontal="center" vertical="center" wrapText="1"/>
    </xf>
    <xf numFmtId="2" fontId="24" fillId="11" borderId="35" xfId="2" quotePrefix="1" applyNumberFormat="1" applyFont="1" applyFill="1" applyBorder="1" applyAlignment="1">
      <alignment horizontal="center" vertical="center" wrapText="1"/>
    </xf>
    <xf numFmtId="2" fontId="24" fillId="11" borderId="35" xfId="2" quotePrefix="1" applyNumberFormat="1" applyFont="1" applyFill="1" applyBorder="1" applyAlignment="1">
      <alignment horizontal="left" wrapText="1"/>
    </xf>
    <xf numFmtId="164" fontId="24" fillId="11" borderId="35" xfId="3" quotePrefix="1" applyFont="1" applyFill="1" applyBorder="1" applyAlignment="1">
      <alignment horizontal="left" wrapText="1"/>
    </xf>
    <xf numFmtId="164" fontId="24" fillId="11" borderId="35" xfId="3" quotePrefix="1" applyFont="1" applyFill="1" applyBorder="1" applyAlignment="1">
      <alignment horizontal="left"/>
    </xf>
    <xf numFmtId="164" fontId="23" fillId="11" borderId="21" xfId="3" quotePrefix="1" applyFont="1" applyFill="1" applyBorder="1" applyAlignment="1">
      <alignment horizontal="left"/>
    </xf>
    <xf numFmtId="49" fontId="3" fillId="0" borderId="9" xfId="6" applyNumberFormat="1" applyFont="1" applyBorder="1" applyAlignment="1">
      <alignment horizontal="left" vertical="top"/>
    </xf>
    <xf numFmtId="0" fontId="3" fillId="0" borderId="19" xfId="5" applyFont="1" applyBorder="1"/>
    <xf numFmtId="166" fontId="23" fillId="7" borderId="0" xfId="11" quotePrefix="1" applyNumberFormat="1" applyFont="1" applyFill="1" applyAlignment="1">
      <alignment horizontal="right" vertical="top"/>
    </xf>
    <xf numFmtId="1" fontId="24" fillId="7" borderId="0" xfId="11" quotePrefix="1" applyNumberFormat="1" applyFont="1" applyFill="1" applyAlignment="1">
      <alignment horizontal="right" vertical="top"/>
    </xf>
    <xf numFmtId="0" fontId="2" fillId="7" borderId="14" xfId="6" applyFont="1" applyFill="1" applyBorder="1" applyAlignment="1">
      <alignment vertical="top"/>
    </xf>
    <xf numFmtId="1" fontId="23" fillId="11" borderId="0" xfId="11" quotePrefix="1" applyNumberFormat="1" applyFont="1" applyFill="1" applyAlignment="1">
      <alignment horizontal="right" vertical="top"/>
    </xf>
    <xf numFmtId="166" fontId="23" fillId="11" borderId="0" xfId="11" quotePrefix="1" applyNumberFormat="1" applyFont="1" applyFill="1" applyAlignment="1">
      <alignment horizontal="right" vertical="top"/>
    </xf>
    <xf numFmtId="0" fontId="63" fillId="11" borderId="14" xfId="0" applyFont="1" applyFill="1" applyBorder="1" applyAlignment="1">
      <alignment wrapText="1"/>
    </xf>
    <xf numFmtId="164" fontId="24" fillId="11" borderId="35" xfId="3" quotePrefix="1" applyFont="1" applyFill="1" applyBorder="1" applyAlignment="1">
      <alignment horizontal="center" vertical="center" wrapText="1"/>
    </xf>
    <xf numFmtId="4" fontId="30" fillId="11" borderId="34" xfId="11" quotePrefix="1" applyNumberFormat="1" applyFont="1" applyFill="1" applyBorder="1" applyAlignment="1">
      <alignment horizontal="left" vertical="center" wrapText="1"/>
    </xf>
    <xf numFmtId="164" fontId="24" fillId="11" borderId="35" xfId="3" quotePrefix="1" applyFont="1" applyFill="1" applyBorder="1" applyAlignment="1">
      <alignment horizontal="left" vertical="center"/>
    </xf>
    <xf numFmtId="164" fontId="23" fillId="11" borderId="21" xfId="3" quotePrefix="1" applyFont="1" applyFill="1" applyBorder="1" applyAlignment="1">
      <alignment horizontal="left" vertical="center"/>
    </xf>
    <xf numFmtId="164" fontId="2" fillId="0" borderId="8" xfId="3" quotePrefix="1" applyFont="1" applyFill="1" applyBorder="1" applyAlignment="1">
      <alignment horizontal="left" vertical="center" wrapText="1"/>
    </xf>
    <xf numFmtId="49" fontId="2" fillId="0" borderId="0" xfId="6" applyNumberFormat="1" applyFont="1" applyAlignment="1">
      <alignment horizontal="left" vertical="center"/>
    </xf>
    <xf numFmtId="49" fontId="3" fillId="0" borderId="0" xfId="6" applyNumberFormat="1" applyFont="1" applyAlignment="1">
      <alignment horizontal="left" vertical="center"/>
    </xf>
    <xf numFmtId="0" fontId="2" fillId="0" borderId="0" xfId="6" applyFont="1" applyAlignment="1">
      <alignment horizontal="left" vertical="center"/>
    </xf>
    <xf numFmtId="1" fontId="23" fillId="11" borderId="0" xfId="11" quotePrefix="1" applyNumberFormat="1" applyFont="1" applyFill="1" applyAlignment="1">
      <alignment horizontal="right" vertical="center"/>
    </xf>
    <xf numFmtId="1" fontId="24" fillId="11" borderId="14" xfId="11" quotePrefix="1" applyNumberFormat="1" applyFont="1" applyFill="1" applyBorder="1" applyAlignment="1">
      <alignment horizontal="left" vertical="center" wrapText="1"/>
    </xf>
    <xf numFmtId="0" fontId="2" fillId="11" borderId="14" xfId="6" applyFont="1" applyFill="1" applyBorder="1" applyAlignment="1">
      <alignment vertical="top" wrapText="1"/>
    </xf>
    <xf numFmtId="1" fontId="24" fillId="11" borderId="0" xfId="11" quotePrefix="1" applyNumberFormat="1" applyFont="1" applyFill="1" applyAlignment="1">
      <alignment horizontal="right" vertical="top"/>
    </xf>
    <xf numFmtId="49" fontId="2" fillId="0" borderId="0" xfId="6" applyNumberFormat="1" applyFont="1" applyAlignment="1">
      <alignment horizontal="right" vertical="top"/>
    </xf>
    <xf numFmtId="0" fontId="2" fillId="0" borderId="0" xfId="5" applyAlignment="1">
      <alignment horizontal="right"/>
    </xf>
    <xf numFmtId="166" fontId="9" fillId="0" borderId="0" xfId="6" applyNumberFormat="1" applyFont="1" applyAlignment="1">
      <alignment horizontal="right" vertical="top"/>
    </xf>
    <xf numFmtId="1" fontId="23" fillId="0" borderId="0" xfId="11" applyNumberFormat="1" applyFont="1" applyAlignment="1">
      <alignment horizontal="right" vertical="center"/>
    </xf>
    <xf numFmtId="166" fontId="23" fillId="9" borderId="0" xfId="11" applyNumberFormat="1" applyFont="1" applyFill="1" applyAlignment="1">
      <alignment horizontal="right" vertical="center" wrapText="1"/>
    </xf>
    <xf numFmtId="1" fontId="23" fillId="9" borderId="0" xfId="11" applyNumberFormat="1" applyFont="1" applyFill="1" applyAlignment="1">
      <alignment horizontal="right" vertical="center" wrapText="1"/>
    </xf>
    <xf numFmtId="166" fontId="23" fillId="8" borderId="0" xfId="11" applyNumberFormat="1" applyFont="1" applyFill="1" applyAlignment="1">
      <alignment horizontal="right" vertical="center"/>
    </xf>
    <xf numFmtId="1" fontId="23" fillId="8" borderId="0" xfId="11" quotePrefix="1" applyNumberFormat="1" applyFont="1" applyFill="1" applyAlignment="1">
      <alignment horizontal="right" vertical="top"/>
    </xf>
    <xf numFmtId="1" fontId="24" fillId="8" borderId="0" xfId="11" quotePrefix="1" applyNumberFormat="1" applyFont="1" applyFill="1" applyAlignment="1">
      <alignment horizontal="right" vertical="top"/>
    </xf>
    <xf numFmtId="1" fontId="24" fillId="6" borderId="0" xfId="11" quotePrefix="1" applyNumberFormat="1" applyFont="1" applyFill="1" applyAlignment="1">
      <alignment horizontal="right" vertical="top"/>
    </xf>
    <xf numFmtId="166" fontId="23" fillId="6" borderId="0" xfId="11" quotePrefix="1" applyNumberFormat="1" applyFont="1" applyFill="1" applyAlignment="1">
      <alignment horizontal="right" vertical="center"/>
    </xf>
    <xf numFmtId="2" fontId="23" fillId="10" borderId="0" xfId="11" quotePrefix="1" applyNumberFormat="1" applyFont="1" applyFill="1" applyAlignment="1">
      <alignment horizontal="right" vertical="center"/>
    </xf>
    <xf numFmtId="171" fontId="23" fillId="10" borderId="0" xfId="11" quotePrefix="1" applyNumberFormat="1" applyFont="1" applyFill="1" applyAlignment="1">
      <alignment horizontal="right" vertical="center"/>
    </xf>
    <xf numFmtId="166" fontId="23" fillId="7" borderId="0" xfId="11" quotePrefix="1" applyNumberFormat="1" applyFont="1" applyFill="1" applyAlignment="1">
      <alignment horizontal="right" vertical="center"/>
    </xf>
    <xf numFmtId="1" fontId="23" fillId="0" borderId="0" xfId="11" applyNumberFormat="1" applyFont="1" applyAlignment="1">
      <alignment horizontal="left" vertical="center"/>
    </xf>
    <xf numFmtId="166" fontId="23" fillId="9" borderId="0" xfId="11" applyNumberFormat="1" applyFont="1" applyFill="1" applyAlignment="1">
      <alignment horizontal="center" vertical="center" wrapText="1"/>
    </xf>
    <xf numFmtId="166" fontId="23" fillId="8" borderId="0" xfId="11" applyNumberFormat="1" applyFont="1" applyFill="1" applyAlignment="1">
      <alignment horizontal="center" vertical="center"/>
    </xf>
    <xf numFmtId="166" fontId="23" fillId="8" borderId="0" xfId="11" quotePrefix="1" applyNumberFormat="1" applyFont="1" applyFill="1" applyAlignment="1">
      <alignment horizontal="left" vertical="center"/>
    </xf>
    <xf numFmtId="1" fontId="24" fillId="8" borderId="0" xfId="11" quotePrefix="1" applyNumberFormat="1" applyFont="1" applyFill="1" applyAlignment="1">
      <alignment horizontal="left" vertical="center"/>
    </xf>
    <xf numFmtId="1" fontId="24" fillId="6" borderId="0" xfId="11" quotePrefix="1" applyNumberFormat="1" applyFont="1" applyFill="1" applyAlignment="1">
      <alignment horizontal="left" vertical="center"/>
    </xf>
    <xf numFmtId="1" fontId="24" fillId="10" borderId="0" xfId="11" quotePrefix="1" applyNumberFormat="1" applyFont="1" applyFill="1" applyAlignment="1">
      <alignment horizontal="left" vertical="center"/>
    </xf>
    <xf numFmtId="1" fontId="24" fillId="7" borderId="0" xfId="11" quotePrefix="1" applyNumberFormat="1" applyFont="1" applyFill="1" applyAlignment="1">
      <alignment horizontal="left" vertical="center"/>
    </xf>
    <xf numFmtId="1" fontId="24" fillId="11" borderId="0" xfId="11" quotePrefix="1" applyNumberFormat="1" applyFont="1" applyFill="1" applyAlignment="1">
      <alignment horizontal="left" vertical="center"/>
    </xf>
    <xf numFmtId="1" fontId="24" fillId="0" borderId="0" xfId="11" quotePrefix="1" applyNumberFormat="1" applyFont="1" applyAlignment="1">
      <alignment horizontal="left" vertical="center"/>
    </xf>
    <xf numFmtId="166" fontId="23" fillId="0" borderId="0" xfId="11" quotePrefix="1" applyNumberFormat="1" applyFont="1" applyAlignment="1">
      <alignment horizontal="right" vertical="top"/>
    </xf>
    <xf numFmtId="1" fontId="24" fillId="0" borderId="0" xfId="11" quotePrefix="1" applyNumberFormat="1" applyFont="1" applyAlignment="1">
      <alignment horizontal="right" vertical="top"/>
    </xf>
    <xf numFmtId="49" fontId="3" fillId="0" borderId="0" xfId="6" applyNumberFormat="1" applyFont="1" applyAlignment="1">
      <alignment horizontal="center" vertical="top"/>
    </xf>
    <xf numFmtId="0" fontId="3" fillId="0" borderId="0" xfId="6" applyFont="1" applyAlignment="1">
      <alignment vertical="top"/>
    </xf>
    <xf numFmtId="1" fontId="24" fillId="12" borderId="21" xfId="11" quotePrefix="1" applyNumberFormat="1" applyFont="1" applyFill="1" applyBorder="1" applyAlignment="1">
      <alignment horizontal="left" vertical="center"/>
    </xf>
    <xf numFmtId="2" fontId="53" fillId="12" borderId="14" xfId="3" quotePrefix="1" applyNumberFormat="1" applyFont="1" applyFill="1" applyBorder="1" applyAlignment="1">
      <alignment horizontal="left" wrapText="1"/>
    </xf>
    <xf numFmtId="4" fontId="30" fillId="12" borderId="14" xfId="11" quotePrefix="1" applyNumberFormat="1" applyFont="1" applyFill="1" applyBorder="1" applyAlignment="1">
      <alignment horizontal="right" vertical="center" wrapText="1"/>
    </xf>
    <xf numFmtId="4" fontId="6" fillId="12" borderId="14" xfId="11" quotePrefix="1" applyNumberFormat="1" applyFont="1" applyFill="1" applyBorder="1" applyAlignment="1">
      <alignment horizontal="left" vertical="center" wrapText="1"/>
    </xf>
    <xf numFmtId="1" fontId="24" fillId="12" borderId="14" xfId="2" quotePrefix="1" applyNumberFormat="1" applyFont="1" applyFill="1" applyBorder="1" applyAlignment="1">
      <alignment horizontal="center" vertical="center" wrapText="1"/>
    </xf>
    <xf numFmtId="2" fontId="24" fillId="12" borderId="14" xfId="2" quotePrefix="1" applyNumberFormat="1" applyFont="1" applyFill="1" applyBorder="1" applyAlignment="1">
      <alignment horizontal="center" vertical="center" wrapText="1"/>
    </xf>
    <xf numFmtId="2" fontId="24" fillId="12" borderId="14" xfId="2" quotePrefix="1" applyNumberFormat="1" applyFont="1" applyFill="1" applyBorder="1" applyAlignment="1">
      <alignment horizontal="left" wrapText="1"/>
    </xf>
    <xf numFmtId="164" fontId="24" fillId="12" borderId="14" xfId="3" quotePrefix="1" applyFont="1" applyFill="1" applyBorder="1" applyAlignment="1">
      <alignment horizontal="left" wrapText="1"/>
    </xf>
    <xf numFmtId="164" fontId="24" fillId="12" borderId="14" xfId="3" quotePrefix="1" applyFont="1" applyFill="1" applyBorder="1" applyAlignment="1">
      <alignment horizontal="left"/>
    </xf>
    <xf numFmtId="164" fontId="23" fillId="12" borderId="14" xfId="3" quotePrefix="1" applyFont="1" applyFill="1" applyBorder="1" applyAlignment="1">
      <alignment horizontal="left"/>
    </xf>
    <xf numFmtId="1" fontId="24" fillId="12" borderId="14" xfId="11" quotePrefix="1" applyNumberFormat="1" applyFont="1" applyFill="1" applyBorder="1" applyAlignment="1">
      <alignment horizontal="left" vertical="center" wrapText="1"/>
    </xf>
    <xf numFmtId="4" fontId="24" fillId="12" borderId="14" xfId="11" quotePrefix="1" applyNumberFormat="1" applyFont="1" applyFill="1" applyBorder="1" applyAlignment="1">
      <alignment horizontal="right" vertical="center" wrapText="1"/>
    </xf>
    <xf numFmtId="4" fontId="24" fillId="12" borderId="14" xfId="11" quotePrefix="1" applyNumberFormat="1" applyFont="1" applyFill="1" applyBorder="1" applyAlignment="1">
      <alignment horizontal="center" vertical="center" wrapText="1"/>
    </xf>
    <xf numFmtId="1" fontId="24" fillId="12" borderId="14" xfId="11" quotePrefix="1" applyNumberFormat="1" applyFont="1" applyFill="1" applyBorder="1" applyAlignment="1">
      <alignment horizontal="center" vertical="center" wrapText="1"/>
    </xf>
    <xf numFmtId="1" fontId="24" fillId="12" borderId="14" xfId="11" quotePrefix="1" applyNumberFormat="1" applyFont="1" applyFill="1" applyBorder="1" applyAlignment="1">
      <alignment horizontal="left" wrapText="1"/>
    </xf>
    <xf numFmtId="164" fontId="24" fillId="12" borderId="14" xfId="3" quotePrefix="1" applyFont="1" applyFill="1" applyBorder="1" applyAlignment="1">
      <alignment horizontal="center" wrapText="1"/>
    </xf>
    <xf numFmtId="164" fontId="24" fillId="12" borderId="14" xfId="3" quotePrefix="1" applyFont="1" applyFill="1" applyBorder="1" applyAlignment="1">
      <alignment horizontal="right"/>
    </xf>
    <xf numFmtId="1" fontId="23" fillId="12" borderId="14" xfId="11" quotePrefix="1" applyNumberFormat="1" applyFont="1" applyFill="1" applyBorder="1" applyAlignment="1">
      <alignment horizontal="left" vertical="center" wrapText="1"/>
    </xf>
    <xf numFmtId="4" fontId="23" fillId="12" borderId="14" xfId="11" quotePrefix="1" applyNumberFormat="1" applyFont="1" applyFill="1" applyBorder="1" applyAlignment="1">
      <alignment horizontal="right" vertical="center" wrapText="1"/>
    </xf>
    <xf numFmtId="4" fontId="30" fillId="12" borderId="14" xfId="11" quotePrefix="1" applyNumberFormat="1" applyFont="1" applyFill="1" applyBorder="1" applyAlignment="1">
      <alignment horizontal="center" vertical="center" wrapText="1"/>
    </xf>
    <xf numFmtId="4" fontId="30" fillId="12" borderId="14" xfId="11" applyNumberFormat="1" applyFont="1" applyFill="1" applyBorder="1" applyAlignment="1">
      <alignment horizontal="center" vertical="center" wrapText="1"/>
    </xf>
    <xf numFmtId="4" fontId="30" fillId="12" borderId="14" xfId="11" applyNumberFormat="1" applyFont="1" applyFill="1" applyBorder="1" applyAlignment="1">
      <alignment horizontal="left" vertical="center" wrapText="1"/>
    </xf>
    <xf numFmtId="1" fontId="30" fillId="12" borderId="14" xfId="11" quotePrefix="1" applyNumberFormat="1" applyFont="1" applyFill="1" applyBorder="1" applyAlignment="1">
      <alignment horizontal="left" vertical="center" wrapText="1"/>
    </xf>
    <xf numFmtId="4" fontId="30" fillId="12" borderId="14" xfId="11" quotePrefix="1" applyNumberFormat="1" applyFont="1" applyFill="1" applyBorder="1" applyAlignment="1">
      <alignment horizontal="left" vertical="center" wrapText="1"/>
    </xf>
    <xf numFmtId="1" fontId="2" fillId="12" borderId="14" xfId="11" quotePrefix="1" applyNumberFormat="1" applyFont="1" applyFill="1" applyBorder="1" applyAlignment="1">
      <alignment horizontal="left" vertical="center" wrapText="1"/>
    </xf>
    <xf numFmtId="4" fontId="2" fillId="12" borderId="14" xfId="11" applyNumberFormat="1" applyFont="1" applyFill="1" applyBorder="1" applyAlignment="1">
      <alignment horizontal="right" vertical="center" wrapText="1"/>
    </xf>
    <xf numFmtId="4" fontId="2" fillId="12" borderId="14" xfId="11" applyNumberFormat="1" applyFont="1" applyFill="1" applyBorder="1" applyAlignment="1">
      <alignment horizontal="center" vertical="center" wrapText="1"/>
    </xf>
    <xf numFmtId="2" fontId="2" fillId="12" borderId="14" xfId="6" applyNumberFormat="1" applyFont="1" applyFill="1" applyBorder="1" applyAlignment="1">
      <alignment horizontal="center" vertical="center"/>
    </xf>
    <xf numFmtId="2" fontId="2" fillId="12" borderId="14" xfId="6" applyNumberFormat="1" applyFont="1" applyFill="1" applyBorder="1" applyAlignment="1">
      <alignment horizontal="left" vertical="top"/>
    </xf>
    <xf numFmtId="4" fontId="2" fillId="12" borderId="14" xfId="11" quotePrefix="1" applyNumberFormat="1" applyFont="1" applyFill="1" applyBorder="1" applyAlignment="1">
      <alignment horizontal="center" vertical="center" wrapText="1"/>
    </xf>
    <xf numFmtId="164" fontId="2" fillId="12" borderId="14" xfId="3" quotePrefix="1" applyFont="1" applyFill="1" applyBorder="1" applyAlignment="1">
      <alignment horizontal="right" vertical="center"/>
    </xf>
    <xf numFmtId="164" fontId="3" fillId="12" borderId="14" xfId="3" quotePrefix="1" applyFont="1" applyFill="1" applyBorder="1" applyAlignment="1">
      <alignment horizontal="left"/>
    </xf>
    <xf numFmtId="4" fontId="2" fillId="12" borderId="14" xfId="6" applyNumberFormat="1" applyFont="1" applyFill="1" applyBorder="1" applyAlignment="1">
      <alignment horizontal="right" vertical="top"/>
    </xf>
    <xf numFmtId="4" fontId="2" fillId="12" borderId="14" xfId="11" quotePrefix="1" applyNumberFormat="1" applyFont="1" applyFill="1" applyBorder="1" applyAlignment="1">
      <alignment horizontal="left" vertical="center" wrapText="1"/>
    </xf>
    <xf numFmtId="4" fontId="30" fillId="12" borderId="14" xfId="11" applyNumberFormat="1" applyFont="1" applyFill="1" applyBorder="1" applyAlignment="1">
      <alignment horizontal="right" vertical="center" wrapText="1"/>
    </xf>
    <xf numFmtId="4" fontId="60" fillId="12" borderId="14" xfId="11" applyNumberFormat="1" applyFont="1" applyFill="1" applyBorder="1" applyAlignment="1">
      <alignment horizontal="center" vertical="center" wrapText="1"/>
    </xf>
    <xf numFmtId="0" fontId="59" fillId="12" borderId="14" xfId="0" applyFont="1" applyFill="1" applyBorder="1" applyAlignment="1">
      <alignment wrapText="1"/>
    </xf>
    <xf numFmtId="2" fontId="51" fillId="12" borderId="14" xfId="3" quotePrefix="1" applyNumberFormat="1" applyFont="1" applyFill="1" applyBorder="1" applyAlignment="1">
      <alignment horizontal="left" wrapText="1"/>
    </xf>
    <xf numFmtId="1" fontId="23" fillId="12" borderId="21" xfId="11" quotePrefix="1" applyNumberFormat="1" applyFont="1" applyFill="1" applyBorder="1" applyAlignment="1">
      <alignment horizontal="left" vertical="center"/>
    </xf>
    <xf numFmtId="166" fontId="23" fillId="12" borderId="20" xfId="11" quotePrefix="1" applyNumberFormat="1" applyFont="1" applyFill="1" applyBorder="1" applyAlignment="1">
      <alignment horizontal="right" vertical="top"/>
    </xf>
    <xf numFmtId="1" fontId="24" fillId="12" borderId="20" xfId="11" quotePrefix="1" applyNumberFormat="1" applyFont="1" applyFill="1" applyBorder="1" applyAlignment="1">
      <alignment horizontal="right" vertical="top"/>
    </xf>
    <xf numFmtId="1" fontId="24" fillId="12" borderId="21" xfId="11" quotePrefix="1" applyNumberFormat="1" applyFont="1" applyFill="1" applyBorder="1" applyAlignment="1">
      <alignment horizontal="right" vertical="center"/>
    </xf>
    <xf numFmtId="1" fontId="2" fillId="12" borderId="21" xfId="11" quotePrefix="1" applyNumberFormat="1" applyFont="1" applyFill="1" applyBorder="1" applyAlignment="1">
      <alignment horizontal="right" vertical="center"/>
    </xf>
    <xf numFmtId="1" fontId="23" fillId="12" borderId="21" xfId="11" quotePrefix="1" applyNumberFormat="1" applyFont="1" applyFill="1" applyBorder="1" applyAlignment="1">
      <alignment horizontal="right" vertical="center"/>
    </xf>
    <xf numFmtId="166" fontId="24" fillId="12" borderId="20" xfId="11" quotePrefix="1" applyNumberFormat="1" applyFont="1" applyFill="1" applyBorder="1" applyAlignment="1">
      <alignment horizontal="right" vertical="top"/>
    </xf>
    <xf numFmtId="1" fontId="23" fillId="12" borderId="20" xfId="11" quotePrefix="1" applyNumberFormat="1" applyFont="1" applyFill="1" applyBorder="1" applyAlignment="1">
      <alignment horizontal="right" vertical="top"/>
    </xf>
    <xf numFmtId="1" fontId="3" fillId="12" borderId="20" xfId="11" quotePrefix="1" applyNumberFormat="1" applyFont="1" applyFill="1" applyBorder="1" applyAlignment="1">
      <alignment horizontal="right" vertical="top"/>
    </xf>
    <xf numFmtId="4" fontId="23" fillId="12" borderId="14" xfId="11" quotePrefix="1" applyNumberFormat="1" applyFont="1" applyFill="1" applyBorder="1" applyAlignment="1">
      <alignment horizontal="center" vertical="center" wrapText="1"/>
    </xf>
    <xf numFmtId="0" fontId="59" fillId="12" borderId="14" xfId="0" applyFont="1" applyFill="1" applyBorder="1"/>
    <xf numFmtId="4" fontId="59" fillId="12" borderId="14" xfId="0" applyNumberFormat="1" applyFont="1" applyFill="1" applyBorder="1" applyAlignment="1">
      <alignment horizontal="right"/>
    </xf>
    <xf numFmtId="4" fontId="59" fillId="12" borderId="14" xfId="0" applyNumberFormat="1" applyFont="1" applyFill="1" applyBorder="1" applyAlignment="1">
      <alignment horizontal="center"/>
    </xf>
    <xf numFmtId="1" fontId="24" fillId="12" borderId="14" xfId="11" quotePrefix="1" applyNumberFormat="1" applyFont="1" applyFill="1" applyBorder="1" applyAlignment="1">
      <alignment horizontal="center" wrapText="1"/>
    </xf>
    <xf numFmtId="1" fontId="61" fillId="12" borderId="14" xfId="11" quotePrefix="1" applyNumberFormat="1" applyFont="1" applyFill="1" applyBorder="1" applyAlignment="1">
      <alignment horizontal="left" vertical="center" wrapText="1"/>
    </xf>
    <xf numFmtId="1" fontId="24" fillId="12" borderId="21" xfId="11" quotePrefix="1" applyNumberFormat="1" applyFont="1" applyFill="1" applyBorder="1" applyAlignment="1">
      <alignment horizontal="center" vertical="center"/>
    </xf>
    <xf numFmtId="49" fontId="3" fillId="0" borderId="0" xfId="6" applyNumberFormat="1" applyFont="1" applyAlignment="1">
      <alignment horizontal="center" vertical="center"/>
    </xf>
    <xf numFmtId="0" fontId="2" fillId="0" borderId="0" xfId="6" applyFont="1" applyAlignment="1">
      <alignment horizontal="center" vertical="center"/>
    </xf>
    <xf numFmtId="1" fontId="24" fillId="12" borderId="14" xfId="2" quotePrefix="1" applyNumberFormat="1" applyFont="1" applyFill="1" applyBorder="1" applyAlignment="1">
      <alignment horizontal="center" wrapText="1"/>
    </xf>
    <xf numFmtId="1" fontId="6" fillId="12" borderId="14" xfId="11" applyNumberFormat="1" applyFont="1" applyFill="1" applyBorder="1" applyAlignment="1">
      <alignment horizontal="center" vertical="center"/>
    </xf>
    <xf numFmtId="1" fontId="30" fillId="12" borderId="14" xfId="11" quotePrefix="1" applyNumberFormat="1" applyFont="1" applyFill="1" applyBorder="1" applyAlignment="1">
      <alignment horizontal="center" vertical="center" wrapText="1"/>
    </xf>
    <xf numFmtId="1" fontId="2" fillId="12" borderId="14" xfId="11" applyNumberFormat="1" applyFont="1" applyFill="1" applyBorder="1" applyAlignment="1">
      <alignment horizontal="center" vertical="center" wrapText="1"/>
    </xf>
    <xf numFmtId="1" fontId="2" fillId="12" borderId="14" xfId="11" quotePrefix="1" applyNumberFormat="1" applyFont="1" applyFill="1" applyBorder="1" applyAlignment="1">
      <alignment horizontal="center" vertical="center" wrapText="1"/>
    </xf>
    <xf numFmtId="164" fontId="2" fillId="0" borderId="8" xfId="3" quotePrefix="1" applyFont="1" applyFill="1" applyBorder="1" applyAlignment="1">
      <alignment horizontal="left" wrapText="1"/>
    </xf>
    <xf numFmtId="0" fontId="2" fillId="0" borderId="8" xfId="6" applyFont="1" applyBorder="1" applyAlignment="1">
      <alignment horizontal="left" vertical="top"/>
    </xf>
    <xf numFmtId="0" fontId="3" fillId="0" borderId="8" xfId="6" applyFont="1" applyBorder="1" applyAlignment="1">
      <alignment horizontal="left" vertical="top"/>
    </xf>
    <xf numFmtId="0" fontId="2" fillId="0" borderId="8" xfId="6" quotePrefix="1" applyFont="1" applyBorder="1" applyAlignment="1">
      <alignment horizontal="left" vertical="top"/>
    </xf>
    <xf numFmtId="166" fontId="24" fillId="0" borderId="0" xfId="11" quotePrefix="1" applyNumberFormat="1" applyFont="1" applyAlignment="1">
      <alignment horizontal="right" vertical="top"/>
    </xf>
    <xf numFmtId="1" fontId="24" fillId="13" borderId="21" xfId="11" quotePrefix="1" applyNumberFormat="1" applyFont="1" applyFill="1" applyBorder="1" applyAlignment="1">
      <alignment horizontal="left" vertical="center"/>
    </xf>
    <xf numFmtId="4" fontId="24" fillId="13" borderId="14" xfId="11" quotePrefix="1" applyNumberFormat="1" applyFont="1" applyFill="1" applyBorder="1" applyAlignment="1">
      <alignment horizontal="right" vertical="center" wrapText="1"/>
    </xf>
    <xf numFmtId="4" fontId="24" fillId="13" borderId="14" xfId="11" quotePrefix="1" applyNumberFormat="1" applyFont="1" applyFill="1" applyBorder="1" applyAlignment="1">
      <alignment horizontal="center" vertical="center" wrapText="1"/>
    </xf>
    <xf numFmtId="1" fontId="24" fillId="13" borderId="14" xfId="2" quotePrefix="1" applyNumberFormat="1" applyFont="1" applyFill="1" applyBorder="1" applyAlignment="1">
      <alignment horizontal="center" wrapText="1"/>
    </xf>
    <xf numFmtId="1" fontId="24" fillId="13" borderId="14" xfId="11" quotePrefix="1" applyNumberFormat="1" applyFont="1" applyFill="1" applyBorder="1" applyAlignment="1">
      <alignment horizontal="center" vertical="center" wrapText="1"/>
    </xf>
    <xf numFmtId="1" fontId="24" fillId="13" borderId="14" xfId="11" quotePrefix="1" applyNumberFormat="1" applyFont="1" applyFill="1" applyBorder="1" applyAlignment="1">
      <alignment horizontal="left" wrapText="1"/>
    </xf>
    <xf numFmtId="164" fontId="24" fillId="13" borderId="14" xfId="3" quotePrefix="1" applyFont="1" applyFill="1" applyBorder="1" applyAlignment="1">
      <alignment horizontal="center" wrapText="1"/>
    </xf>
    <xf numFmtId="164" fontId="24" fillId="13" borderId="14" xfId="3" quotePrefix="1" applyFont="1" applyFill="1" applyBorder="1" applyAlignment="1">
      <alignment horizontal="right"/>
    </xf>
    <xf numFmtId="164" fontId="23" fillId="13" borderId="14" xfId="3" quotePrefix="1" applyFont="1" applyFill="1" applyBorder="1" applyAlignment="1">
      <alignment horizontal="left"/>
    </xf>
    <xf numFmtId="1" fontId="23" fillId="13" borderId="20" xfId="11" quotePrefix="1" applyNumberFormat="1" applyFont="1" applyFill="1" applyBorder="1" applyAlignment="1">
      <alignment horizontal="right" vertical="top"/>
    </xf>
    <xf numFmtId="1" fontId="23" fillId="13" borderId="14" xfId="11" quotePrefix="1" applyNumberFormat="1" applyFont="1" applyFill="1" applyBorder="1" applyAlignment="1">
      <alignment horizontal="left" vertical="center" wrapText="1"/>
    </xf>
    <xf numFmtId="166" fontId="23" fillId="13" borderId="20" xfId="11" quotePrefix="1" applyNumberFormat="1" applyFont="1" applyFill="1" applyBorder="1" applyAlignment="1">
      <alignment horizontal="right" vertical="top"/>
    </xf>
    <xf numFmtId="164" fontId="24" fillId="13" borderId="14" xfId="3" quotePrefix="1" applyFont="1" applyFill="1" applyBorder="1" applyAlignment="1">
      <alignment horizontal="right" vertical="center" wrapText="1"/>
    </xf>
    <xf numFmtId="164" fontId="24" fillId="13" borderId="14" xfId="3" quotePrefix="1" applyFont="1" applyFill="1" applyBorder="1" applyAlignment="1">
      <alignment horizontal="right" vertical="center"/>
    </xf>
    <xf numFmtId="1" fontId="24" fillId="13" borderId="20" xfId="11" quotePrefix="1" applyNumberFormat="1" applyFont="1" applyFill="1" applyBorder="1" applyAlignment="1">
      <alignment horizontal="right" vertical="top"/>
    </xf>
    <xf numFmtId="2" fontId="51" fillId="13" borderId="14" xfId="3" quotePrefix="1" applyNumberFormat="1" applyFont="1" applyFill="1" applyBorder="1" applyAlignment="1">
      <alignment horizontal="left" wrapText="1"/>
    </xf>
    <xf numFmtId="4" fontId="30" fillId="13" borderId="14" xfId="11" quotePrefix="1" applyNumberFormat="1" applyFont="1" applyFill="1" applyBorder="1" applyAlignment="1">
      <alignment horizontal="right" vertical="center" wrapText="1"/>
    </xf>
    <xf numFmtId="4" fontId="6" fillId="13" borderId="14" xfId="11" quotePrefix="1" applyNumberFormat="1" applyFont="1" applyFill="1" applyBorder="1" applyAlignment="1">
      <alignment horizontal="left" vertical="center" wrapText="1"/>
    </xf>
    <xf numFmtId="1" fontId="24" fillId="13" borderId="14" xfId="2" quotePrefix="1" applyNumberFormat="1" applyFont="1" applyFill="1" applyBorder="1" applyAlignment="1">
      <alignment horizontal="center" vertical="center" wrapText="1"/>
    </xf>
    <xf numFmtId="2" fontId="24" fillId="13" borderId="14" xfId="2" quotePrefix="1" applyNumberFormat="1" applyFont="1" applyFill="1" applyBorder="1" applyAlignment="1">
      <alignment horizontal="center" vertical="center" wrapText="1"/>
    </xf>
    <xf numFmtId="2" fontId="24" fillId="13" borderId="14" xfId="2" quotePrefix="1" applyNumberFormat="1" applyFont="1" applyFill="1" applyBorder="1" applyAlignment="1">
      <alignment horizontal="left" wrapText="1"/>
    </xf>
    <xf numFmtId="164" fontId="24" fillId="13" borderId="14" xfId="3" quotePrefix="1" applyFont="1" applyFill="1" applyBorder="1" applyAlignment="1">
      <alignment horizontal="left" wrapText="1"/>
    </xf>
    <xf numFmtId="164" fontId="24" fillId="13" borderId="14" xfId="3" quotePrefix="1" applyFont="1" applyFill="1" applyBorder="1" applyAlignment="1">
      <alignment horizontal="left"/>
    </xf>
    <xf numFmtId="4" fontId="6" fillId="12" borderId="14" xfId="11" quotePrefix="1" applyNumberFormat="1" applyFont="1" applyFill="1" applyBorder="1" applyAlignment="1">
      <alignment horizontal="right" vertical="center" wrapText="1"/>
    </xf>
    <xf numFmtId="4" fontId="6" fillId="12" borderId="14" xfId="11" quotePrefix="1" applyNumberFormat="1" applyFont="1" applyFill="1" applyBorder="1" applyAlignment="1">
      <alignment horizontal="center" vertical="center" wrapText="1"/>
    </xf>
    <xf numFmtId="1" fontId="24" fillId="12" borderId="20" xfId="11" quotePrefix="1" applyNumberFormat="1" applyFont="1" applyFill="1" applyBorder="1" applyAlignment="1">
      <alignment horizontal="right" vertical="center"/>
    </xf>
    <xf numFmtId="164" fontId="24" fillId="12" borderId="14" xfId="3" quotePrefix="1" applyFont="1" applyFill="1" applyBorder="1" applyAlignment="1">
      <alignment horizontal="right" wrapText="1"/>
    </xf>
    <xf numFmtId="164" fontId="24" fillId="12" borderId="14" xfId="3" quotePrefix="1" applyFont="1" applyFill="1" applyBorder="1" applyAlignment="1">
      <alignment horizontal="center" vertical="center"/>
    </xf>
    <xf numFmtId="164" fontId="2" fillId="12" borderId="14" xfId="6" applyNumberFormat="1" applyFont="1" applyFill="1" applyBorder="1" applyAlignment="1">
      <alignment vertical="top"/>
    </xf>
    <xf numFmtId="164" fontId="2" fillId="12" borderId="14" xfId="6" applyNumberFormat="1" applyFont="1" applyFill="1" applyBorder="1" applyAlignment="1">
      <alignment horizontal="right"/>
    </xf>
    <xf numFmtId="4" fontId="6" fillId="12" borderId="14" xfId="11" applyNumberFormat="1" applyFont="1" applyFill="1" applyBorder="1" applyAlignment="1">
      <alignment horizontal="right" vertical="center"/>
    </xf>
    <xf numFmtId="1" fontId="2" fillId="12" borderId="14" xfId="6" applyNumberFormat="1" applyFont="1" applyFill="1" applyBorder="1" applyAlignment="1">
      <alignment horizontal="center" vertical="top"/>
    </xf>
    <xf numFmtId="4" fontId="23" fillId="12" borderId="14" xfId="11" applyNumberFormat="1" applyFont="1" applyFill="1" applyBorder="1" applyAlignment="1">
      <alignment horizontal="right" vertical="center"/>
    </xf>
    <xf numFmtId="0" fontId="3" fillId="12" borderId="14" xfId="6" applyFont="1" applyFill="1" applyBorder="1" applyAlignment="1">
      <alignment vertical="top"/>
    </xf>
    <xf numFmtId="0" fontId="2" fillId="12" borderId="14" xfId="6" quotePrefix="1" applyFont="1" applyFill="1" applyBorder="1" applyAlignment="1">
      <alignment vertical="top"/>
    </xf>
    <xf numFmtId="0" fontId="2" fillId="12" borderId="14" xfId="6" applyFont="1" applyFill="1" applyBorder="1" applyAlignment="1">
      <alignment vertical="top"/>
    </xf>
    <xf numFmtId="2" fontId="23" fillId="12" borderId="20" xfId="11" quotePrefix="1" applyNumberFormat="1" applyFont="1" applyFill="1" applyBorder="1" applyAlignment="1">
      <alignment horizontal="right" vertical="top"/>
    </xf>
    <xf numFmtId="172" fontId="23" fillId="12" borderId="21" xfId="11" quotePrefix="1" applyNumberFormat="1" applyFont="1" applyFill="1" applyBorder="1" applyAlignment="1">
      <alignment horizontal="left" vertical="center"/>
    </xf>
    <xf numFmtId="1" fontId="3" fillId="12" borderId="14" xfId="11" quotePrefix="1" applyNumberFormat="1" applyFont="1" applyFill="1" applyBorder="1" applyAlignment="1">
      <alignment horizontal="left" vertical="center" wrapText="1"/>
    </xf>
    <xf numFmtId="164" fontId="23" fillId="13" borderId="40" xfId="3" quotePrefix="1" applyFont="1" applyFill="1" applyBorder="1" applyAlignment="1">
      <alignment horizontal="left"/>
    </xf>
    <xf numFmtId="164" fontId="23" fillId="4" borderId="37" xfId="3" quotePrefix="1" applyFont="1" applyFill="1" applyBorder="1" applyAlignment="1">
      <alignment horizontal="left"/>
    </xf>
    <xf numFmtId="164" fontId="23" fillId="12" borderId="40" xfId="3" quotePrefix="1" applyFont="1" applyFill="1" applyBorder="1" applyAlignment="1">
      <alignment horizontal="left"/>
    </xf>
    <xf numFmtId="164" fontId="23" fillId="11" borderId="37" xfId="3" quotePrefix="1" applyFont="1" applyFill="1" applyBorder="1" applyAlignment="1">
      <alignment horizontal="left"/>
    </xf>
    <xf numFmtId="164" fontId="23" fillId="7" borderId="37" xfId="3" quotePrefix="1" applyFont="1" applyFill="1" applyBorder="1" applyAlignment="1">
      <alignment horizontal="left"/>
    </xf>
    <xf numFmtId="164" fontId="23" fillId="4" borderId="51" xfId="3" quotePrefix="1" applyFont="1" applyFill="1" applyBorder="1" applyAlignment="1">
      <alignment horizontal="right"/>
    </xf>
    <xf numFmtId="166" fontId="23" fillId="14" borderId="0" xfId="11" quotePrefix="1" applyNumberFormat="1" applyFont="1" applyFill="1" applyAlignment="1">
      <alignment vertical="top"/>
    </xf>
    <xf numFmtId="1" fontId="24" fillId="14" borderId="0" xfId="11" quotePrefix="1" applyNumberFormat="1" applyFont="1" applyFill="1" applyAlignment="1">
      <alignment horizontal="left" vertical="center"/>
    </xf>
    <xf numFmtId="2" fontId="3" fillId="14" borderId="35" xfId="3" quotePrefix="1" applyNumberFormat="1" applyFont="1" applyFill="1" applyBorder="1" applyAlignment="1">
      <alignment horizontal="left" wrapText="1"/>
    </xf>
    <xf numFmtId="4" fontId="30" fillId="14" borderId="34" xfId="11" quotePrefix="1" applyNumberFormat="1" applyFont="1" applyFill="1" applyBorder="1" applyAlignment="1">
      <alignment horizontal="right" vertical="center" wrapText="1"/>
    </xf>
    <xf numFmtId="4" fontId="6" fillId="14" borderId="35" xfId="11" quotePrefix="1" applyNumberFormat="1" applyFont="1" applyFill="1" applyBorder="1" applyAlignment="1">
      <alignment horizontal="left" vertical="center" wrapText="1"/>
    </xf>
    <xf numFmtId="1" fontId="24" fillId="14" borderId="35" xfId="2" quotePrefix="1" applyNumberFormat="1" applyFont="1" applyFill="1" applyBorder="1" applyAlignment="1">
      <alignment horizontal="center" vertical="center" wrapText="1"/>
    </xf>
    <xf numFmtId="2" fontId="24" fillId="14" borderId="35" xfId="2" quotePrefix="1" applyNumberFormat="1" applyFont="1" applyFill="1" applyBorder="1" applyAlignment="1">
      <alignment horizontal="center" vertical="center" wrapText="1"/>
    </xf>
    <xf numFmtId="2" fontId="24" fillId="14" borderId="35" xfId="2" quotePrefix="1" applyNumberFormat="1" applyFont="1" applyFill="1" applyBorder="1" applyAlignment="1">
      <alignment horizontal="left" wrapText="1"/>
    </xf>
    <xf numFmtId="164" fontId="24" fillId="14" borderId="35" xfId="3" quotePrefix="1" applyFont="1" applyFill="1" applyBorder="1" applyAlignment="1">
      <alignment horizontal="left" wrapText="1"/>
    </xf>
    <xf numFmtId="164" fontId="24" fillId="14" borderId="35" xfId="3" quotePrefix="1" applyFont="1" applyFill="1" applyBorder="1" applyAlignment="1">
      <alignment horizontal="left"/>
    </xf>
    <xf numFmtId="164" fontId="23" fillId="14" borderId="37" xfId="3" quotePrefix="1" applyFont="1" applyFill="1" applyBorder="1" applyAlignment="1">
      <alignment horizontal="left"/>
    </xf>
    <xf numFmtId="1" fontId="24" fillId="14" borderId="0" xfId="11" quotePrefix="1" applyNumberFormat="1" applyFont="1" applyFill="1" applyAlignment="1">
      <alignment horizontal="right" vertical="top"/>
    </xf>
    <xf numFmtId="2" fontId="31" fillId="14" borderId="14" xfId="3" quotePrefix="1" applyNumberFormat="1" applyFont="1" applyFill="1" applyBorder="1" applyAlignment="1">
      <alignment horizontal="left" wrapText="1"/>
    </xf>
    <xf numFmtId="164" fontId="23" fillId="14" borderId="21" xfId="3" quotePrefix="1" applyFont="1" applyFill="1" applyBorder="1" applyAlignment="1">
      <alignment horizontal="left"/>
    </xf>
    <xf numFmtId="0" fontId="63" fillId="14" borderId="14" xfId="0" applyFont="1" applyFill="1" applyBorder="1"/>
    <xf numFmtId="2" fontId="3" fillId="14" borderId="14" xfId="3" quotePrefix="1" applyNumberFormat="1" applyFont="1" applyFill="1" applyBorder="1" applyAlignment="1">
      <alignment horizontal="left" wrapText="1"/>
    </xf>
    <xf numFmtId="164" fontId="24" fillId="14" borderId="21" xfId="3" quotePrefix="1" applyFont="1" applyFill="1" applyBorder="1" applyAlignment="1">
      <alignment horizontal="left"/>
    </xf>
    <xf numFmtId="2" fontId="2" fillId="14" borderId="14" xfId="3" quotePrefix="1" applyNumberFormat="1" applyFont="1" applyFill="1" applyBorder="1" applyAlignment="1">
      <alignment horizontal="left" wrapText="1"/>
    </xf>
    <xf numFmtId="1" fontId="23" fillId="14" borderId="0" xfId="11" quotePrefix="1" applyNumberFormat="1" applyFont="1" applyFill="1" applyAlignment="1">
      <alignment horizontal="right" vertical="top"/>
    </xf>
    <xf numFmtId="1" fontId="23" fillId="14" borderId="35" xfId="11" quotePrefix="1" applyNumberFormat="1" applyFont="1" applyFill="1" applyBorder="1" applyAlignment="1">
      <alignment horizontal="left" vertical="center" wrapText="1"/>
    </xf>
    <xf numFmtId="1" fontId="24" fillId="14" borderId="20" xfId="11" quotePrefix="1" applyNumberFormat="1" applyFont="1" applyFill="1" applyBorder="1" applyAlignment="1">
      <alignment horizontal="left" vertical="center" wrapText="1"/>
    </xf>
    <xf numFmtId="4" fontId="30" fillId="14" borderId="35" xfId="11" quotePrefix="1" applyNumberFormat="1" applyFont="1" applyFill="1" applyBorder="1" applyAlignment="1">
      <alignment horizontal="right" vertical="center" wrapText="1"/>
    </xf>
    <xf numFmtId="10" fontId="24" fillId="14" borderId="35" xfId="2" quotePrefix="1" applyNumberFormat="1" applyFont="1" applyFill="1" applyBorder="1" applyAlignment="1">
      <alignment horizontal="center" vertical="center" wrapText="1"/>
    </xf>
    <xf numFmtId="1" fontId="23" fillId="14" borderId="20" xfId="11" quotePrefix="1" applyNumberFormat="1" applyFont="1" applyFill="1" applyBorder="1" applyAlignment="1">
      <alignment horizontal="left" vertical="center" wrapText="1"/>
    </xf>
    <xf numFmtId="2" fontId="51" fillId="14" borderId="20" xfId="3" quotePrefix="1" applyNumberFormat="1" applyFont="1" applyFill="1" applyBorder="1" applyAlignment="1">
      <alignment horizontal="left" wrapText="1"/>
    </xf>
    <xf numFmtId="164" fontId="24" fillId="14" borderId="33" xfId="3" quotePrefix="1" applyFont="1" applyFill="1" applyBorder="1" applyAlignment="1">
      <alignment horizontal="left" wrapText="1"/>
    </xf>
    <xf numFmtId="164" fontId="23" fillId="14" borderId="14" xfId="3" quotePrefix="1" applyFont="1" applyFill="1" applyBorder="1" applyAlignment="1">
      <alignment horizontal="right"/>
    </xf>
    <xf numFmtId="164" fontId="23" fillId="14" borderId="52" xfId="3" quotePrefix="1" applyFont="1" applyFill="1" applyBorder="1" applyAlignment="1">
      <alignment horizontal="left"/>
    </xf>
    <xf numFmtId="1" fontId="24" fillId="8" borderId="35" xfId="2" quotePrefix="1" applyNumberFormat="1" applyFont="1" applyFill="1" applyBorder="1" applyAlignment="1">
      <alignment horizontal="center" wrapText="1"/>
    </xf>
    <xf numFmtId="1" fontId="2" fillId="8" borderId="9" xfId="6" applyNumberFormat="1" applyFont="1" applyFill="1" applyBorder="1" applyAlignment="1">
      <alignment horizontal="center" vertical="center"/>
    </xf>
    <xf numFmtId="164" fontId="23" fillId="10" borderId="21" xfId="3" quotePrefix="1" applyFont="1" applyFill="1" applyBorder="1" applyAlignment="1">
      <alignment horizontal="left" vertical="center" wrapText="1"/>
    </xf>
    <xf numFmtId="1" fontId="24" fillId="7" borderId="35" xfId="2" quotePrefix="1" applyNumberFormat="1" applyFont="1" applyFill="1" applyBorder="1" applyAlignment="1">
      <alignment horizontal="center" wrapText="1"/>
    </xf>
    <xf numFmtId="164" fontId="23" fillId="7" borderId="48" xfId="3" applyFont="1" applyFill="1" applyBorder="1" applyAlignment="1">
      <alignment horizontal="left" vertical="center"/>
    </xf>
    <xf numFmtId="164" fontId="2" fillId="8" borderId="14" xfId="3" applyFont="1" applyFill="1" applyBorder="1" applyAlignment="1">
      <alignment vertical="top"/>
    </xf>
    <xf numFmtId="164" fontId="2" fillId="12" borderId="14" xfId="3" applyFont="1" applyFill="1" applyBorder="1" applyAlignment="1">
      <alignment horizontal="center" vertical="top"/>
    </xf>
    <xf numFmtId="164" fontId="30" fillId="12" borderId="14" xfId="3" quotePrefix="1" applyFont="1" applyFill="1" applyBorder="1" applyAlignment="1">
      <alignment horizontal="center" vertical="center" wrapText="1"/>
    </xf>
    <xf numFmtId="164" fontId="2" fillId="12" borderId="14" xfId="3" quotePrefix="1" applyFont="1" applyFill="1" applyBorder="1" applyAlignment="1">
      <alignment horizontal="center" vertical="center" wrapText="1"/>
    </xf>
    <xf numFmtId="164" fontId="24" fillId="14" borderId="35" xfId="3" quotePrefix="1" applyFont="1" applyFill="1" applyBorder="1" applyAlignment="1">
      <alignment horizontal="center" wrapText="1"/>
    </xf>
    <xf numFmtId="164" fontId="23" fillId="13" borderId="14" xfId="3" quotePrefix="1" applyFont="1" applyFill="1" applyBorder="1" applyAlignment="1">
      <alignment vertical="center"/>
    </xf>
    <xf numFmtId="164" fontId="2" fillId="14" borderId="9" xfId="3" applyFont="1" applyFill="1" applyBorder="1" applyAlignment="1">
      <alignment horizontal="left" vertical="top"/>
    </xf>
    <xf numFmtId="164" fontId="2" fillId="14" borderId="14" xfId="6" applyNumberFormat="1" applyFont="1" applyFill="1" applyBorder="1" applyAlignment="1">
      <alignment vertical="top"/>
    </xf>
    <xf numFmtId="170" fontId="20" fillId="4" borderId="40" xfId="4" applyNumberFormat="1" applyFont="1" applyFill="1" applyBorder="1">
      <alignment vertical="top" wrapText="1"/>
    </xf>
    <xf numFmtId="0" fontId="59" fillId="7" borderId="14" xfId="0" applyFont="1" applyFill="1" applyBorder="1"/>
    <xf numFmtId="0" fontId="59" fillId="7" borderId="14" xfId="0" applyFont="1" applyFill="1" applyBorder="1" applyAlignment="1">
      <alignment wrapText="1"/>
    </xf>
    <xf numFmtId="0" fontId="59" fillId="11" borderId="14" xfId="0" applyFont="1" applyFill="1" applyBorder="1" applyAlignment="1">
      <alignment horizontal="left" vertical="center" wrapText="1"/>
    </xf>
    <xf numFmtId="0" fontId="59" fillId="11" borderId="14" xfId="0" applyFont="1" applyFill="1" applyBorder="1" applyAlignment="1">
      <alignment wrapText="1"/>
    </xf>
    <xf numFmtId="0" fontId="59" fillId="11" borderId="14" xfId="0" applyFont="1" applyFill="1" applyBorder="1"/>
    <xf numFmtId="0" fontId="59" fillId="14" borderId="14" xfId="0" applyFont="1" applyFill="1" applyBorder="1"/>
    <xf numFmtId="0" fontId="0" fillId="0" borderId="17" xfId="0" applyBorder="1" applyAlignment="1">
      <alignment horizontal="center"/>
    </xf>
    <xf numFmtId="0" fontId="0" fillId="0" borderId="73" xfId="0" applyBorder="1"/>
    <xf numFmtId="0" fontId="0" fillId="0" borderId="74" xfId="0" applyBorder="1"/>
    <xf numFmtId="0" fontId="0" fillId="0" borderId="75" xfId="0" applyBorder="1"/>
    <xf numFmtId="164" fontId="0" fillId="0" borderId="0" xfId="3" applyFont="1"/>
    <xf numFmtId="0" fontId="0" fillId="15" borderId="54" xfId="0" applyFill="1" applyBorder="1" applyAlignment="1">
      <alignment horizontal="center"/>
    </xf>
    <xf numFmtId="0" fontId="0" fillId="15" borderId="55" xfId="0" applyFill="1" applyBorder="1" applyAlignment="1">
      <alignment horizontal="center"/>
    </xf>
    <xf numFmtId="164" fontId="0" fillId="0" borderId="0" xfId="3" applyFont="1" applyBorder="1"/>
    <xf numFmtId="164" fontId="0" fillId="0" borderId="82" xfId="3" applyFont="1" applyBorder="1"/>
    <xf numFmtId="0" fontId="0" fillId="16" borderId="64" xfId="0" applyFill="1" applyBorder="1"/>
    <xf numFmtId="1" fontId="0" fillId="16" borderId="65" xfId="0" applyNumberFormat="1" applyFill="1" applyBorder="1"/>
    <xf numFmtId="0" fontId="0" fillId="16" borderId="65" xfId="0" applyFill="1" applyBorder="1"/>
    <xf numFmtId="2" fontId="0" fillId="16" borderId="65" xfId="0" applyNumberFormat="1" applyFill="1" applyBorder="1"/>
    <xf numFmtId="2" fontId="0" fillId="16" borderId="66" xfId="0" applyNumberFormat="1" applyFill="1" applyBorder="1"/>
    <xf numFmtId="164" fontId="0" fillId="15" borderId="61" xfId="3" applyFont="1" applyFill="1" applyBorder="1"/>
    <xf numFmtId="164" fontId="0" fillId="15" borderId="63" xfId="3" applyFont="1" applyFill="1" applyBorder="1"/>
    <xf numFmtId="164" fontId="0" fillId="15" borderId="76" xfId="3" applyFont="1" applyFill="1" applyBorder="1"/>
    <xf numFmtId="164" fontId="0" fillId="16" borderId="79" xfId="3" applyFont="1" applyFill="1" applyBorder="1"/>
    <xf numFmtId="164" fontId="0" fillId="16" borderId="80" xfId="3" applyFont="1" applyFill="1" applyBorder="1"/>
    <xf numFmtId="164" fontId="0" fillId="16" borderId="81" xfId="3" applyFont="1" applyFill="1" applyBorder="1"/>
    <xf numFmtId="164" fontId="0" fillId="16" borderId="83" xfId="3" applyFont="1" applyFill="1" applyBorder="1"/>
    <xf numFmtId="164" fontId="0" fillId="16" borderId="67" xfId="3" applyFont="1" applyFill="1" applyBorder="1"/>
    <xf numFmtId="164" fontId="0" fillId="16" borderId="82" xfId="3" applyFont="1" applyFill="1" applyBorder="1"/>
    <xf numFmtId="164" fontId="0" fillId="16" borderId="62" xfId="3" applyFont="1" applyFill="1" applyBorder="1"/>
    <xf numFmtId="164" fontId="0" fillId="16" borderId="63" xfId="3" applyFont="1" applyFill="1" applyBorder="1"/>
    <xf numFmtId="164" fontId="0" fillId="16" borderId="70" xfId="3" applyFont="1" applyFill="1" applyBorder="1"/>
    <xf numFmtId="164" fontId="0" fillId="16" borderId="68" xfId="3" applyFont="1" applyFill="1" applyBorder="1"/>
    <xf numFmtId="164" fontId="0" fillId="16" borderId="74" xfId="3" applyFont="1" applyFill="1" applyBorder="1"/>
    <xf numFmtId="164" fontId="0" fillId="16" borderId="71" xfId="3" applyFont="1" applyFill="1" applyBorder="1"/>
    <xf numFmtId="164" fontId="0" fillId="15" borderId="69" xfId="0" applyNumberFormat="1" applyFill="1" applyBorder="1"/>
    <xf numFmtId="164" fontId="0" fillId="15" borderId="70" xfId="0" applyNumberFormat="1" applyFill="1" applyBorder="1"/>
    <xf numFmtId="164" fontId="0" fillId="15" borderId="77" xfId="0" applyNumberFormat="1" applyFill="1" applyBorder="1"/>
    <xf numFmtId="164" fontId="0" fillId="16" borderId="84" xfId="3" applyFont="1" applyFill="1" applyBorder="1"/>
    <xf numFmtId="164" fontId="0" fillId="16" borderId="85" xfId="3" applyFont="1" applyFill="1" applyBorder="1"/>
    <xf numFmtId="164" fontId="0" fillId="16" borderId="86" xfId="3" applyFont="1" applyFill="1" applyBorder="1"/>
    <xf numFmtId="164" fontId="58" fillId="4" borderId="78" xfId="3" applyFont="1" applyFill="1" applyBorder="1"/>
    <xf numFmtId="0" fontId="58" fillId="15" borderId="17" xfId="0" applyFont="1" applyFill="1" applyBorder="1" applyAlignment="1">
      <alignment horizontal="center"/>
    </xf>
    <xf numFmtId="164" fontId="58" fillId="15" borderId="28" xfId="3" applyFont="1" applyFill="1" applyBorder="1" applyAlignment="1">
      <alignment horizontal="center"/>
    </xf>
    <xf numFmtId="0" fontId="58" fillId="15" borderId="56" xfId="0" applyFont="1" applyFill="1" applyBorder="1" applyAlignment="1">
      <alignment horizontal="center" vertical="center" wrapText="1"/>
    </xf>
    <xf numFmtId="0" fontId="58" fillId="15" borderId="57" xfId="0" applyFont="1" applyFill="1" applyBorder="1" applyAlignment="1">
      <alignment horizontal="center" vertical="center"/>
    </xf>
    <xf numFmtId="0" fontId="58" fillId="15" borderId="57" xfId="0" applyFont="1" applyFill="1" applyBorder="1"/>
    <xf numFmtId="0" fontId="58" fillId="15" borderId="57" xfId="0" applyFont="1" applyFill="1" applyBorder="1" applyAlignment="1">
      <alignment horizontal="center" vertical="center" wrapText="1"/>
    </xf>
    <xf numFmtId="0" fontId="58" fillId="0" borderId="72" xfId="0" applyFont="1" applyBorder="1" applyAlignment="1">
      <alignment horizontal="center" vertical="center"/>
    </xf>
    <xf numFmtId="0" fontId="58" fillId="15" borderId="53" xfId="0" applyFont="1" applyFill="1" applyBorder="1" applyAlignment="1">
      <alignment horizontal="center"/>
    </xf>
    <xf numFmtId="164" fontId="0" fillId="0" borderId="88" xfId="3" applyFont="1" applyBorder="1"/>
    <xf numFmtId="0" fontId="0" fillId="16" borderId="87" xfId="0" applyFill="1" applyBorder="1"/>
    <xf numFmtId="0" fontId="0" fillId="16" borderId="5" xfId="0" applyFill="1" applyBorder="1"/>
    <xf numFmtId="0" fontId="0" fillId="16" borderId="6" xfId="0" applyFill="1" applyBorder="1"/>
    <xf numFmtId="0" fontId="55" fillId="0" borderId="0" xfId="0" applyFont="1"/>
    <xf numFmtId="164" fontId="0" fillId="15" borderId="90" xfId="3" applyFont="1" applyFill="1" applyBorder="1"/>
    <xf numFmtId="164" fontId="0" fillId="15" borderId="44" xfId="3" applyFont="1" applyFill="1" applyBorder="1"/>
    <xf numFmtId="164" fontId="0" fillId="16" borderId="92" xfId="3" applyFont="1" applyFill="1" applyBorder="1"/>
    <xf numFmtId="164" fontId="0" fillId="16" borderId="88" xfId="3" applyFont="1" applyFill="1" applyBorder="1"/>
    <xf numFmtId="0" fontId="0" fillId="15" borderId="92" xfId="0" applyFill="1" applyBorder="1"/>
    <xf numFmtId="0" fontId="0" fillId="0" borderId="0" xfId="0" applyAlignment="1">
      <alignment horizontal="center"/>
    </xf>
    <xf numFmtId="0" fontId="59" fillId="0" borderId="0" xfId="0" applyFont="1"/>
    <xf numFmtId="0" fontId="59" fillId="0" borderId="0" xfId="0" applyFont="1" applyAlignment="1">
      <alignment horizontal="center"/>
    </xf>
    <xf numFmtId="0" fontId="62" fillId="0" borderId="0" xfId="0" applyFont="1" applyAlignment="1">
      <alignment horizontal="center"/>
    </xf>
    <xf numFmtId="0" fontId="59" fillId="15" borderId="95" xfId="0" applyFont="1" applyFill="1" applyBorder="1"/>
    <xf numFmtId="0" fontId="59" fillId="15" borderId="94" xfId="0" applyFont="1" applyFill="1" applyBorder="1" applyAlignment="1">
      <alignment horizontal="center"/>
    </xf>
    <xf numFmtId="0" fontId="59" fillId="15" borderId="0" xfId="0" applyFont="1" applyFill="1" applyAlignment="1">
      <alignment horizontal="center"/>
    </xf>
    <xf numFmtId="0" fontId="59" fillId="15" borderId="92" xfId="0" applyFont="1" applyFill="1" applyBorder="1" applyAlignment="1">
      <alignment horizontal="center"/>
    </xf>
    <xf numFmtId="0" fontId="59" fillId="0" borderId="94" xfId="0" applyFont="1" applyBorder="1"/>
    <xf numFmtId="0" fontId="63" fillId="0" borderId="91" xfId="0" applyFont="1" applyBorder="1" applyAlignment="1">
      <alignment horizontal="center"/>
    </xf>
    <xf numFmtId="0" fontId="63" fillId="0" borderId="97" xfId="0" applyFont="1" applyBorder="1" applyAlignment="1">
      <alignment horizontal="center"/>
    </xf>
    <xf numFmtId="0" fontId="63" fillId="0" borderId="16" xfId="0" applyFont="1" applyBorder="1" applyAlignment="1">
      <alignment horizontal="center" wrapText="1"/>
    </xf>
    <xf numFmtId="0" fontId="63" fillId="0" borderId="94" xfId="0" applyFont="1" applyBorder="1" applyAlignment="1">
      <alignment horizontal="center"/>
    </xf>
    <xf numFmtId="0" fontId="63" fillId="0" borderId="16" xfId="0" applyFont="1" applyBorder="1" applyAlignment="1">
      <alignment horizontal="center"/>
    </xf>
    <xf numFmtId="0" fontId="63" fillId="0" borderId="89" xfId="0" applyFont="1" applyBorder="1" applyAlignment="1">
      <alignment horizontal="center"/>
    </xf>
    <xf numFmtId="0" fontId="59" fillId="0" borderId="58" xfId="0" applyFont="1" applyBorder="1" applyAlignment="1">
      <alignment horizontal="center"/>
    </xf>
    <xf numFmtId="0" fontId="58" fillId="16" borderId="0" xfId="0" applyFont="1" applyFill="1"/>
    <xf numFmtId="164" fontId="0" fillId="0" borderId="96" xfId="3" applyFont="1" applyBorder="1"/>
    <xf numFmtId="0" fontId="0" fillId="15" borderId="6" xfId="0" applyFill="1" applyBorder="1"/>
    <xf numFmtId="0" fontId="0" fillId="15" borderId="5" xfId="0" applyFill="1" applyBorder="1"/>
    <xf numFmtId="164" fontId="0" fillId="15" borderId="98" xfId="3" applyFont="1" applyFill="1" applyBorder="1" applyAlignment="1">
      <alignment horizontal="center"/>
    </xf>
    <xf numFmtId="164" fontId="0" fillId="0" borderId="14" xfId="0" applyNumberFormat="1" applyBorder="1"/>
    <xf numFmtId="164" fontId="66" fillId="15" borderId="99" xfId="3" applyFont="1" applyFill="1" applyBorder="1"/>
    <xf numFmtId="164" fontId="0" fillId="16" borderId="47" xfId="3" applyFont="1" applyFill="1" applyBorder="1"/>
    <xf numFmtId="0" fontId="0" fillId="16" borderId="48" xfId="0" applyFill="1" applyBorder="1"/>
    <xf numFmtId="164" fontId="0" fillId="16" borderId="49" xfId="3" applyFont="1" applyFill="1" applyBorder="1"/>
    <xf numFmtId="0" fontId="0" fillId="16" borderId="39" xfId="0" applyFill="1" applyBorder="1"/>
    <xf numFmtId="0" fontId="64" fillId="0" borderId="0" xfId="0" applyFont="1" applyAlignment="1">
      <alignment horizontal="left"/>
    </xf>
    <xf numFmtId="9" fontId="0" fillId="0" borderId="0" xfId="0" applyNumberFormat="1"/>
    <xf numFmtId="164" fontId="58" fillId="17" borderId="78" xfId="3" applyFont="1" applyFill="1" applyBorder="1"/>
    <xf numFmtId="0" fontId="58" fillId="15" borderId="53" xfId="0" applyFont="1" applyFill="1" applyBorder="1" applyAlignment="1">
      <alignment horizontal="right"/>
    </xf>
    <xf numFmtId="0" fontId="63" fillId="0" borderId="0" xfId="0" applyFont="1" applyAlignment="1">
      <alignment horizontal="center"/>
    </xf>
    <xf numFmtId="0" fontId="59" fillId="17" borderId="94" xfId="0" applyFont="1" applyFill="1" applyBorder="1" applyAlignment="1">
      <alignment horizontal="center"/>
    </xf>
    <xf numFmtId="0" fontId="59" fillId="17" borderId="92" xfId="0" applyFont="1" applyFill="1" applyBorder="1" applyAlignment="1">
      <alignment horizontal="center"/>
    </xf>
    <xf numFmtId="0" fontId="59" fillId="0" borderId="94" xfId="0" applyFont="1" applyBorder="1" applyAlignment="1">
      <alignment horizontal="left" vertical="center" wrapText="1"/>
    </xf>
    <xf numFmtId="0" fontId="59" fillId="0" borderId="95" xfId="0" applyFont="1" applyBorder="1" applyAlignment="1">
      <alignment horizontal="left" vertical="center" wrapText="1"/>
    </xf>
    <xf numFmtId="0" fontId="59" fillId="0" borderId="95" xfId="0" applyFont="1" applyBorder="1" applyAlignment="1">
      <alignment horizontal="left" vertical="center"/>
    </xf>
    <xf numFmtId="0" fontId="59" fillId="0" borderId="91" xfId="0" applyFont="1" applyBorder="1" applyAlignment="1">
      <alignment horizontal="left" vertical="center"/>
    </xf>
    <xf numFmtId="0" fontId="59" fillId="0" borderId="94" xfId="0" applyFont="1" applyBorder="1" applyAlignment="1">
      <alignment horizontal="left" vertical="center"/>
    </xf>
    <xf numFmtId="0" fontId="59" fillId="0" borderId="91" xfId="0" applyFont="1" applyBorder="1" applyAlignment="1">
      <alignment horizontal="center" vertical="center"/>
    </xf>
    <xf numFmtId="164" fontId="59" fillId="0" borderId="95" xfId="0" applyNumberFormat="1" applyFont="1" applyBorder="1" applyAlignment="1">
      <alignment horizontal="left" vertical="center"/>
    </xf>
    <xf numFmtId="164" fontId="59" fillId="0" borderId="95" xfId="3" applyFont="1" applyBorder="1" applyAlignment="1">
      <alignment horizontal="left" vertical="center"/>
    </xf>
    <xf numFmtId="0" fontId="59" fillId="0" borderId="94" xfId="0" applyFont="1" applyBorder="1" applyAlignment="1">
      <alignment horizontal="center" vertical="center"/>
    </xf>
    <xf numFmtId="164" fontId="59" fillId="0" borderId="0" xfId="0" applyNumberFormat="1" applyFont="1" applyAlignment="1">
      <alignment horizontal="center" vertical="center"/>
    </xf>
    <xf numFmtId="0" fontId="59" fillId="0" borderId="89" xfId="0" applyFont="1" applyBorder="1" applyAlignment="1">
      <alignment horizontal="center" vertical="center"/>
    </xf>
    <xf numFmtId="164" fontId="59" fillId="0" borderId="7" xfId="0" applyNumberFormat="1" applyFont="1" applyBorder="1" applyAlignment="1">
      <alignment horizontal="center" vertical="center"/>
    </xf>
    <xf numFmtId="0" fontId="59" fillId="0" borderId="94" xfId="0" applyFont="1" applyBorder="1" applyAlignment="1">
      <alignment horizontal="center" vertical="center" wrapText="1"/>
    </xf>
    <xf numFmtId="164" fontId="59" fillId="0" borderId="0" xfId="3" applyFont="1" applyBorder="1" applyAlignment="1">
      <alignment horizontal="center" vertical="center"/>
    </xf>
    <xf numFmtId="0" fontId="59" fillId="0" borderId="91" xfId="0" applyFont="1" applyBorder="1" applyAlignment="1">
      <alignment horizontal="center" vertical="center" wrapText="1"/>
    </xf>
    <xf numFmtId="164" fontId="59" fillId="0" borderId="7" xfId="3" applyFont="1" applyBorder="1" applyAlignment="1">
      <alignment horizontal="center" vertical="center"/>
    </xf>
    <xf numFmtId="0" fontId="63" fillId="15" borderId="59" xfId="0" applyFont="1" applyFill="1" applyBorder="1" applyAlignment="1">
      <alignment horizontal="left" vertical="center"/>
    </xf>
    <xf numFmtId="0" fontId="63" fillId="15" borderId="60" xfId="0" applyFont="1" applyFill="1" applyBorder="1" applyAlignment="1">
      <alignment horizontal="left" vertical="center"/>
    </xf>
    <xf numFmtId="0" fontId="59" fillId="0" borderId="91" xfId="0" applyFont="1" applyBorder="1" applyAlignment="1">
      <alignment horizontal="left" vertical="center" wrapText="1"/>
    </xf>
    <xf numFmtId="0" fontId="59" fillId="0" borderId="89" xfId="0" applyFont="1" applyBorder="1" applyAlignment="1">
      <alignment horizontal="left" vertical="center" wrapText="1"/>
    </xf>
    <xf numFmtId="0" fontId="59" fillId="17" borderId="95" xfId="0" applyFont="1" applyFill="1" applyBorder="1" applyAlignment="1">
      <alignment horizontal="center"/>
    </xf>
    <xf numFmtId="0" fontId="59" fillId="17" borderId="95" xfId="0" applyFont="1" applyFill="1" applyBorder="1" applyAlignment="1">
      <alignment horizontal="left" vertical="center"/>
    </xf>
    <xf numFmtId="0" fontId="59" fillId="17" borderId="91" xfId="0" applyFont="1" applyFill="1" applyBorder="1" applyAlignment="1">
      <alignment horizontal="left" vertical="center"/>
    </xf>
    <xf numFmtId="0" fontId="63" fillId="17" borderId="92" xfId="0" applyFont="1" applyFill="1" applyBorder="1" applyAlignment="1">
      <alignment horizontal="center" vertical="center"/>
    </xf>
    <xf numFmtId="0" fontId="63" fillId="17" borderId="95" xfId="0" applyFont="1" applyFill="1" applyBorder="1" applyAlignment="1">
      <alignment horizontal="center"/>
    </xf>
    <xf numFmtId="164" fontId="63" fillId="4" borderId="78" xfId="0" applyNumberFormat="1" applyFont="1" applyFill="1" applyBorder="1" applyAlignment="1">
      <alignment horizontal="center"/>
    </xf>
    <xf numFmtId="2" fontId="3" fillId="13" borderId="14" xfId="3" quotePrefix="1" applyNumberFormat="1" applyFont="1" applyFill="1" applyBorder="1" applyAlignment="1">
      <alignment horizontal="left" wrapText="1"/>
    </xf>
    <xf numFmtId="2" fontId="2" fillId="13" borderId="14" xfId="3" quotePrefix="1" applyNumberFormat="1" applyFont="1" applyFill="1" applyBorder="1" applyAlignment="1">
      <alignment horizontal="left" wrapText="1"/>
    </xf>
    <xf numFmtId="166" fontId="23" fillId="13" borderId="20" xfId="11" quotePrefix="1" applyNumberFormat="1" applyFont="1" applyFill="1" applyBorder="1" applyAlignment="1">
      <alignment horizontal="right" vertical="center"/>
    </xf>
    <xf numFmtId="0" fontId="11" fillId="3" borderId="1" xfId="5" applyFont="1" applyFill="1" applyBorder="1" applyAlignment="1">
      <alignment horizontal="center" vertical="center"/>
    </xf>
    <xf numFmtId="0" fontId="11" fillId="3" borderId="2" xfId="5" applyFont="1" applyFill="1" applyBorder="1" applyAlignment="1">
      <alignment horizontal="center" vertical="center"/>
    </xf>
    <xf numFmtId="0" fontId="11" fillId="3" borderId="3" xfId="5" applyFont="1" applyFill="1" applyBorder="1" applyAlignment="1">
      <alignment horizontal="center" vertical="center"/>
    </xf>
    <xf numFmtId="0" fontId="10" fillId="0" borderId="0" xfId="5" applyFont="1" applyAlignment="1">
      <alignment horizontal="left" wrapText="1"/>
    </xf>
    <xf numFmtId="0" fontId="18" fillId="0" borderId="0" xfId="8" applyFont="1" applyAlignment="1">
      <alignment vertical="top"/>
    </xf>
    <xf numFmtId="0" fontId="18" fillId="0" borderId="0" xfId="8" applyFont="1" applyAlignment="1">
      <alignment vertical="top" wrapText="1"/>
    </xf>
    <xf numFmtId="0" fontId="18" fillId="0" borderId="0" xfId="8" applyFont="1" applyAlignment="1">
      <alignment wrapText="1"/>
    </xf>
    <xf numFmtId="0" fontId="35" fillId="0" borderId="0" xfId="8" applyFont="1" applyAlignment="1">
      <alignment horizontal="left" vertical="top" wrapText="1"/>
    </xf>
    <xf numFmtId="0" fontId="18" fillId="0" borderId="0" xfId="8" applyFont="1" applyAlignment="1">
      <alignment horizontal="left" wrapText="1" indent="1"/>
    </xf>
    <xf numFmtId="0" fontId="19" fillId="0" borderId="0" xfId="8" applyFont="1" applyAlignment="1">
      <alignment horizontal="left" vertical="top" wrapText="1"/>
    </xf>
    <xf numFmtId="0" fontId="35" fillId="0" borderId="0" xfId="8" applyFont="1" applyAlignment="1">
      <alignment vertical="top" wrapText="1"/>
    </xf>
    <xf numFmtId="0" fontId="18" fillId="0" borderId="0" xfId="8" applyFont="1" applyAlignment="1">
      <alignment horizontal="left" vertical="top" wrapText="1"/>
    </xf>
    <xf numFmtId="0" fontId="5" fillId="0" borderId="0" xfId="4" applyFill="1" applyAlignment="1">
      <alignment horizontal="justify" vertical="top" wrapText="1"/>
    </xf>
    <xf numFmtId="166" fontId="50" fillId="0" borderId="25" xfId="11" applyNumberFormat="1" applyFont="1" applyBorder="1" applyAlignment="1">
      <alignment horizontal="center" vertical="center" wrapText="1"/>
    </xf>
    <xf numFmtId="166" fontId="50" fillId="0" borderId="22" xfId="11" applyNumberFormat="1" applyFont="1" applyBorder="1" applyAlignment="1">
      <alignment horizontal="center" vertical="center" wrapText="1"/>
    </xf>
    <xf numFmtId="166" fontId="50" fillId="0" borderId="27" xfId="11" applyNumberFormat="1" applyFont="1" applyBorder="1" applyAlignment="1">
      <alignment horizontal="center" vertical="center" wrapText="1"/>
    </xf>
    <xf numFmtId="4" fontId="9" fillId="0" borderId="10" xfId="6" applyNumberFormat="1" applyFont="1" applyBorder="1" applyAlignment="1">
      <alignment horizontal="center" vertical="top"/>
    </xf>
    <xf numFmtId="4" fontId="9" fillId="0" borderId="0" xfId="6" applyNumberFormat="1" applyFont="1" applyAlignment="1">
      <alignment horizontal="center" vertical="top"/>
    </xf>
    <xf numFmtId="4" fontId="9" fillId="0" borderId="8" xfId="6" applyNumberFormat="1" applyFont="1" applyBorder="1" applyAlignment="1">
      <alignment horizontal="center" vertical="top"/>
    </xf>
    <xf numFmtId="0" fontId="63" fillId="18" borderId="87" xfId="0" applyFont="1" applyFill="1" applyBorder="1" applyAlignment="1">
      <alignment horizontal="center" vertical="center"/>
    </xf>
    <xf numFmtId="0" fontId="63" fillId="18" borderId="88" xfId="0" applyFont="1" applyFill="1" applyBorder="1" applyAlignment="1">
      <alignment horizontal="center" vertical="center"/>
    </xf>
    <xf numFmtId="0" fontId="63" fillId="18" borderId="93" xfId="0" applyFont="1" applyFill="1" applyBorder="1" applyAlignment="1">
      <alignment horizontal="center" vertical="center"/>
    </xf>
    <xf numFmtId="0" fontId="65" fillId="0" borderId="0" xfId="0" applyFont="1" applyAlignment="1">
      <alignment horizontal="center"/>
    </xf>
    <xf numFmtId="0" fontId="18" fillId="0" borderId="0" xfId="8" applyFont="1" applyAlignment="1"/>
  </cellXfs>
  <cellStyles count="12">
    <cellStyle name="Comma" xfId="2" builtinId="3"/>
    <cellStyle name="Currency" xfId="3" builtinId="4"/>
    <cellStyle name="Currency 2" xfId="9" xr:uid="{76E2F666-5792-4B9F-80E7-A571CF5388BF}"/>
    <cellStyle name="Normal" xfId="0" builtinId="0"/>
    <cellStyle name="Normal 2" xfId="1" xr:uid="{00000000-0005-0000-0000-000001000000}"/>
    <cellStyle name="Normal 2 2" xfId="8" xr:uid="{E37C3646-1083-48D7-B4F4-BC524A08638D}"/>
    <cellStyle name="Normal 2 3" xfId="11" xr:uid="{320E4BC2-3BD2-402D-B223-080E629A308D}"/>
    <cellStyle name="Normal 3" xfId="4" xr:uid="{53664349-6597-46FA-B8BB-3E9E45362315}"/>
    <cellStyle name="Normal 3 2" xfId="7" xr:uid="{4D9FF880-B9B2-4BA9-9026-87B000279DAB}"/>
    <cellStyle name="Normal_Glasgow Teachers Building LCC Model 15-03-06" xfId="6" xr:uid="{5D68323B-834D-425C-B060-A97AB82B293D}"/>
    <cellStyle name="Normal_Whole Life Report Summary 31-03-06" xfId="5" xr:uid="{632861A6-1325-4AD7-8882-BECD53F541D9}"/>
    <cellStyle name="Percent 2" xfId="10" xr:uid="{A5EEE18A-EB6A-4EB9-B466-58C700266172}"/>
  </cellStyles>
  <dxfs count="2">
    <dxf>
      <fill>
        <patternFill>
          <bgColor indexed="9"/>
        </patternFill>
      </fill>
    </dxf>
    <dxf>
      <fill>
        <patternFill>
          <bgColor indexed="9"/>
        </patternFill>
      </fill>
    </dxf>
  </dxfs>
  <tableStyles count="0" defaultTableStyle="TableStyleMedium2" defaultPivotStyle="PivotStyleLight16"/>
  <colors>
    <mruColors>
      <color rgb="FFBDD7EE"/>
      <color rgb="FFFFCC66"/>
      <color rgb="FFCCFF99"/>
      <color rgb="FFFFFFCC"/>
      <color rgb="FF9999FF"/>
      <color rgb="FF00CCFF"/>
      <color rgb="FFFFCCCC"/>
      <color rgb="FFFF99FF"/>
      <color rgb="FFB2B2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externalLink" Target="externalLinks/externalLink32.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externalLink" Target="externalLinks/externalLink35.xml"/><Relationship Id="rId47" Type="http://schemas.openxmlformats.org/officeDocument/2006/relationships/styles" Target="styles.xml"/><Relationship Id="rId50"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9.xml"/><Relationship Id="rId29" Type="http://schemas.openxmlformats.org/officeDocument/2006/relationships/externalLink" Target="externalLinks/externalLink22.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49" Type="http://schemas.openxmlformats.org/officeDocument/2006/relationships/calcChain" Target="calcChain.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4" Type="http://schemas.openxmlformats.org/officeDocument/2006/relationships/externalLink" Target="externalLinks/externalLink37.xml"/><Relationship Id="rId52"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43" Type="http://schemas.openxmlformats.org/officeDocument/2006/relationships/externalLink" Target="externalLinks/externalLink36.xml"/><Relationship Id="rId48" Type="http://schemas.openxmlformats.org/officeDocument/2006/relationships/sharedStrings" Target="sharedStrings.xml"/><Relationship Id="rId8" Type="http://schemas.openxmlformats.org/officeDocument/2006/relationships/externalLink" Target="externalLinks/externalLink1.xml"/><Relationship Id="rId51"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46" Type="http://schemas.openxmlformats.org/officeDocument/2006/relationships/theme" Target="theme/theme1.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1" Type="http://schemas.openxmlformats.org/officeDocument/2006/relationships/worksheet" Target="worksheets/sheet1.xml"/><Relationship Id="rId6" Type="http://schemas.openxmlformats.org/officeDocument/2006/relationships/worksheet" Target="worksheets/sheet6.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16</xdr:col>
      <xdr:colOff>495936</xdr:colOff>
      <xdr:row>0</xdr:row>
      <xdr:rowOff>136524</xdr:rowOff>
    </xdr:from>
    <xdr:to>
      <xdr:col>27</xdr:col>
      <xdr:colOff>221616</xdr:colOff>
      <xdr:row>56</xdr:row>
      <xdr:rowOff>156844</xdr:rowOff>
    </xdr:to>
    <xdr:pic>
      <xdr:nvPicPr>
        <xdr:cNvPr id="3" name="picCoverA4">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2386" y="136524"/>
          <a:ext cx="6431280" cy="9088120"/>
        </a:xfrm>
        <a:prstGeom prst="rect">
          <a:avLst/>
        </a:prstGeom>
      </xdr:spPr>
    </xdr:pic>
    <xdr:clientData/>
  </xdr:twoCellAnchor>
  <xdr:twoCellAnchor>
    <xdr:from>
      <xdr:col>1</xdr:col>
      <xdr:colOff>419100</xdr:colOff>
      <xdr:row>19</xdr:row>
      <xdr:rowOff>152400</xdr:rowOff>
    </xdr:from>
    <xdr:to>
      <xdr:col>8</xdr:col>
      <xdr:colOff>285750</xdr:colOff>
      <xdr:row>32</xdr:row>
      <xdr:rowOff>50800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117600" y="3289300"/>
          <a:ext cx="4756150" cy="2044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50" baseline="0"/>
            <a:t> Jayne Pierson School of Fashion, Art &amp; Design</a:t>
          </a:r>
        </a:p>
        <a:p>
          <a:endParaRPr lang="en-GB" sz="1250" baseline="0"/>
        </a:p>
        <a:p>
          <a:r>
            <a:rPr lang="en-GB" sz="1250" baseline="0"/>
            <a:t>NRM1 Estimate Cost Plan </a:t>
          </a:r>
        </a:p>
        <a:p>
          <a:r>
            <a:rPr lang="en-GB" sz="1250" baseline="0"/>
            <a:t>Company: Alpha Designs</a:t>
          </a:r>
        </a:p>
        <a:p>
          <a:endParaRPr lang="en-GB" sz="1250" baseline="0"/>
        </a:p>
        <a:p>
          <a:r>
            <a:rPr lang="en-GB" sz="1250" baseline="0"/>
            <a:t>Project Reference: 6023</a:t>
          </a:r>
          <a:endParaRPr lang="en-GB" sz="1100"/>
        </a:p>
        <a:p>
          <a:endParaRPr lang="en-GB" sz="1100" baseline="0"/>
        </a:p>
        <a:p>
          <a:endParaRPr lang="en-GB" sz="1100"/>
        </a:p>
        <a:p>
          <a:r>
            <a:rPr lang="en-GB" sz="1100" b="0" cap="none" spc="0">
              <a:ln w="0"/>
              <a:solidFill>
                <a:schemeClr val="accent1"/>
              </a:solidFill>
              <a:effectLst>
                <a:outerShdw blurRad="38100" dist="25400" dir="5400000" algn="ctr" rotWithShape="0">
                  <a:srgbClr val="6E747A">
                    <a:alpha val="43000"/>
                  </a:srgbClr>
                </a:outerShdw>
              </a:effectLst>
            </a:rPr>
            <a:t>Dated:</a:t>
          </a:r>
          <a:r>
            <a:rPr lang="en-GB" sz="1100" b="0" cap="none" spc="0" baseline="0">
              <a:ln w="0"/>
              <a:solidFill>
                <a:schemeClr val="accent1"/>
              </a:solidFill>
              <a:effectLst>
                <a:outerShdw blurRad="38100" dist="25400" dir="5400000" algn="ctr" rotWithShape="0">
                  <a:srgbClr val="6E747A">
                    <a:alpha val="43000"/>
                  </a:srgbClr>
                </a:outerShdw>
              </a:effectLst>
            </a:rPr>
            <a:t>20/04/2024</a:t>
          </a:r>
        </a:p>
        <a:p>
          <a:endParaRPr lang="en-GB" sz="1100" b="0" cap="none" spc="0" baseline="0">
            <a:ln w="0"/>
            <a:solidFill>
              <a:schemeClr val="accent1"/>
            </a:solidFill>
            <a:effectLst>
              <a:outerShdw blurRad="38100" dist="25400" dir="5400000" algn="ctr" rotWithShape="0">
                <a:srgbClr val="6E747A">
                  <a:alpha val="43000"/>
                </a:srgbClr>
              </a:outerShdw>
            </a:effectLst>
          </a:endParaRPr>
        </a:p>
        <a:p>
          <a:endParaRPr lang="en-GB" sz="1100" b="0" cap="none" spc="0">
            <a:ln w="0"/>
            <a:solidFill>
              <a:schemeClr val="accent1"/>
            </a:solidFill>
            <a:effectLst>
              <a:outerShdw blurRad="38100" dist="25400" dir="5400000" algn="ctr" rotWithShape="0">
                <a:srgbClr val="6E747A">
                  <a:alpha val="43000"/>
                </a:srgbClr>
              </a:outerShdw>
            </a:effectLst>
          </a:endParaRPr>
        </a:p>
      </xdr:txBody>
    </xdr:sp>
    <xdr:clientData/>
  </xdr:twoCellAnchor>
  <xdr:twoCellAnchor>
    <xdr:from>
      <xdr:col>12</xdr:col>
      <xdr:colOff>0</xdr:colOff>
      <xdr:row>1</xdr:row>
      <xdr:rowOff>0</xdr:rowOff>
    </xdr:from>
    <xdr:to>
      <xdr:col>13</xdr:col>
      <xdr:colOff>63500</xdr:colOff>
      <xdr:row>4</xdr:row>
      <xdr:rowOff>76200</xdr:rowOff>
    </xdr:to>
    <xdr:sp macro="" textlink="">
      <xdr:nvSpPr>
        <xdr:cNvPr id="1025" name="Text Box 1">
          <a:extLst>
            <a:ext uri="{FF2B5EF4-FFF2-40B4-BE49-F238E27FC236}">
              <a16:creationId xmlns:a16="http://schemas.microsoft.com/office/drawing/2014/main" id="{00000000-0008-0000-0000-000001040000}"/>
            </a:ext>
          </a:extLst>
        </xdr:cNvPr>
        <xdr:cNvSpPr txBox="1">
          <a:spLocks noChangeArrowheads="1"/>
        </xdr:cNvSpPr>
      </xdr:nvSpPr>
      <xdr:spPr bwMode="auto">
        <a:xfrm>
          <a:off x="8318500" y="165100"/>
          <a:ext cx="762000" cy="5715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endParaRPr lang="en-GB" sz="1100" b="0" i="0" u="none" strike="noStrike" baseline="0">
            <a:solidFill>
              <a:srgbClr val="000000"/>
            </a:solidFill>
            <a:latin typeface="Calibri" pitchFamily="2" charset="0"/>
            <a:cs typeface="Calibri" pitchFamily="2" charset="0"/>
          </a:endParaRPr>
        </a:p>
      </xdr:txBody>
    </xdr:sp>
    <xdr:clientData/>
  </xdr:twoCellAnchor>
  <xdr:twoCellAnchor editAs="oneCell">
    <xdr:from>
      <xdr:col>1</xdr:col>
      <xdr:colOff>272213</xdr:colOff>
      <xdr:row>2</xdr:row>
      <xdr:rowOff>136509</xdr:rowOff>
    </xdr:from>
    <xdr:to>
      <xdr:col>7</xdr:col>
      <xdr:colOff>2085</xdr:colOff>
      <xdr:row>12</xdr:row>
      <xdr:rowOff>72176</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71296" y="462748"/>
          <a:ext cx="3853934" cy="1566859"/>
        </a:xfrm>
        <a:prstGeom prst="rect">
          <a:avLst/>
        </a:prstGeom>
        <a:solidFill>
          <a:schemeClr val="tx1"/>
        </a:solid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317500</xdr:colOff>
      <xdr:row>0</xdr:row>
      <xdr:rowOff>88900</xdr:rowOff>
    </xdr:from>
    <xdr:to>
      <xdr:col>6</xdr:col>
      <xdr:colOff>1009134</xdr:colOff>
      <xdr:row>9</xdr:row>
      <xdr:rowOff>169859</xdr:rowOff>
    </xdr:to>
    <xdr:pic>
      <xdr:nvPicPr>
        <xdr:cNvPr id="3" name="Picture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84600" y="88900"/>
          <a:ext cx="3853934" cy="1566859"/>
        </a:xfrm>
        <a:prstGeom prst="rect">
          <a:avLst/>
        </a:prstGeom>
        <a:solidFill>
          <a:schemeClr val="tx1"/>
        </a:solid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635000</xdr:colOff>
      <xdr:row>0</xdr:row>
      <xdr:rowOff>76200</xdr:rowOff>
    </xdr:from>
    <xdr:to>
      <xdr:col>5</xdr:col>
      <xdr:colOff>50511</xdr:colOff>
      <xdr:row>6</xdr:row>
      <xdr:rowOff>105015</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4000" y="76200"/>
          <a:ext cx="3556000" cy="1445731"/>
        </a:xfrm>
        <a:prstGeom prst="rect">
          <a:avLst/>
        </a:prstGeom>
        <a:solidFill>
          <a:schemeClr val="tx1"/>
        </a:solidFill>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400-000009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400-00000D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400-00000F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400-000010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400-000011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400-000012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400-000013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400-000014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400-000015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400-000016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381000</xdr:colOff>
          <xdr:row>344</xdr:row>
          <xdr:rowOff>0</xdr:rowOff>
        </xdr:from>
        <xdr:to>
          <xdr:col>26</xdr:col>
          <xdr:colOff>38100</xdr:colOff>
          <xdr:row>408</xdr:row>
          <xdr:rowOff>99060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400-0000172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20BUILDING%20SURVEYING\PGB\My%20Documents\The%20Knowledge\Travel%20Inn\Ops%20Book\Ops%20books%20option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PROJECTS\20049\ElemAn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Z007-Others\Craven\Brighton%20Crest%20BioRegional\220704%20Brighton%20CrestB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Projects/London%20Sq%20Dev/5154412%20Smugglers%20Way/QS/B%20Cost%20Planning/02%20Estimates%20&amp;%20Cost%20Plans/Wandsworth%20Cost%20Model%20(DRAFT%20VE).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Documents%20and%20Settings\SPILLJ\Local%20Settings\Temporary%20Internet%20Files\OLKA\Cost%20Mode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HK%20Documents\ReGen%20Cost%20Pl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atkins-my.sharepoint.com/Users/ClixbyH/Desktop/Tues/Copy%20of%20Tollgate%20Gardens%20Cost%20Model%20Nr%201%20150914%20ZR%20-%20RPP%20AREAS%20Rev%20A%20Hannah.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D%20Templates\D%20-%20Post%20Contract\01%20Cost%20Report%20(incl%20cashflow).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20and%20Settings\GlynL\My%20Documents\zzz%20-%20Systems%20in%20Development\Cost%20Plan\CPMast_Rev0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Standard%20Documents\SCraven%20Development%20Cost%20Plans\KHK%20Development%20Cost%20Plan%20Rev%20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KHK%20Documents\Regen%20Description%20Fil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Documents%20and%20Settings\Richard\Desktop\ReGen%20Cost%20Plan%20Rev3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Projects/Argent/5130551%20Block%20R7%20Kings%20X/QS/B%20Cost%20Planning/02%20Estimates%20&amp;%20Cost%20Plans/Stage%203/ss/Argent%20R7%20KX%20CR5%20Stage%203%20Interim%2020140910.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entral%20Files\1000019259\3.%20SOLUS%20SITES\Archway,%20Hill%20House\Scheme%201\A177-2\Ops%20Lists\New%20Ops%20List%20inc%20macros%20v7%2031%20230107%20-%20Ascot%2026.01.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Cost%20Plan\35%20Basinghall%20Street%20EC2\Cost%20Plan%20Feb03\35%20Basinghall%20Street,%20Cost%20Plan,%20February%2020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atkins-my.sharepoint.com/GBLOW/F%20and%20G%20-%20South%20East/Staff/Hanson/INTEGRA/Standard%20Cost%20Plans%20(April%202018)/12%20HG%20-%20STAGE%20D%20COST%20PLAN%20-Mar%202014(fin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20Templates\B%20-%20Cost%20Planning\Estimate%20Templa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atkins-my.sharepoint.com/Jobs/22676%20-%20Bishops%20Residential%20Development/03%20Cost%20Plans,%20Estimates/Excel/Hannah%20Fox/Benchmarking/Offices/orange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My%20Documents\Analysis\17080-%2030GreshamSt\CP02forS&amp;CandCat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atkins-my.sharepoint.com/Users/pm03/AppData/Local/Microsoft/Windows/Temporary%20Internet%20Files/Content.Outlook/88JL90EN/Gary/Winstanley_York_Road%20Model%2011_11_2013%20V1.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KHK%20Documents\Blank%20Extension%20Order%20and%20Full%20Breakdown%20Spreadsheet%20-%20Experimental%202006%20Format%20-%20VERSION%203%20-%20NOT%20FOR%20ISSU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Cost%20Plan\Condor%20House\Benchmarking%20Nov02\WSP%20Cost%20Plan\EUQ's%20&amp;%20EUR'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atkins-my.sharepoint.com/$$%20MANAGEMENT%20$$/HCD/Glyns%20Project%20Comparitor.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atkins-my.sharepoint.com/LON/QS/I46001/REPORT/COST/CASHFL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My%20Documents\Analysis\16820-%20280Bishopgate\QuickanalysisM4.xls" TargetMode="External"/></Relationships>
</file>

<file path=xl/externalLinks/_rels/externalLink26.xml.rels><?xml version="1.0" encoding="UTF-8" standalone="yes"?>
<Relationships xmlns="http://schemas.openxmlformats.org/package/2006/relationships"><Relationship Id="rId2" Type="http://schemas.microsoft.com/office/2019/04/relationships/externalLinkLongPath" Target="eval?489C2129" TargetMode="External"/><Relationship Id="rId1" Type="http://schemas.openxmlformats.org/officeDocument/2006/relationships/externalLinkPath" Target="file:///\\489C2129\eval"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0506\InvestmentMgmt\PARs\MASTER\MASTER%20PAR%20v2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LOND01%20-%20QS\GrahamS\Working%20Documents\Cost_Plan_Front_Shee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Standard%20Doc's\Cost%20Plan%2014-10-023.xls" TargetMode="External"/></Relationships>
</file>

<file path=xl/externalLinks/_rels/externalLink30.xml.rels><?xml version="1.0" encoding="UTF-8" standalone="yes"?>
<Relationships xmlns="http://schemas.openxmlformats.org/package/2006/relationships"><Relationship Id="rId2" Type="http://schemas.microsoft.com/office/2019/04/relationships/externalLinkLongPath" Target="1.00?489C2129" TargetMode="External"/><Relationship Id="rId1" Type="http://schemas.openxmlformats.org/officeDocument/2006/relationships/externalLinkPath" Target="file:///\\489C2129\1.00" TargetMode="External"/></Relationships>
</file>

<file path=xl/externalLinks/_rels/externalLink31.xml.rels><?xml version="1.0" encoding="UTF-8" standalone="yes"?>
<Relationships xmlns="http://schemas.openxmlformats.org/package/2006/relationships"><Relationship Id="rId2" Type="http://schemas.microsoft.com/office/2019/04/relationships/externalLinkLongPath" Target="10.00?489C2129" TargetMode="External"/><Relationship Id="rId1" Type="http://schemas.openxmlformats.org/officeDocument/2006/relationships/externalLinkPath" Target="file:///\\489C2129\10.00"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2.00?489C2129" TargetMode="External"/><Relationship Id="rId1" Type="http://schemas.openxmlformats.org/officeDocument/2006/relationships/externalLinkPath" Target="file:///\\489C2129\2.00"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3.00?489C2129" TargetMode="External"/><Relationship Id="rId1" Type="http://schemas.openxmlformats.org/officeDocument/2006/relationships/externalLinkPath" Target="file:///\\489C2129\3.00"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4.00?489C2129" TargetMode="External"/><Relationship Id="rId1" Type="http://schemas.openxmlformats.org/officeDocument/2006/relationships/externalLinkPath" Target="file:///\\489C2129\4.00" TargetMode="External"/></Relationships>
</file>

<file path=xl/externalLinks/_rels/externalLink35.xml.rels><?xml version="1.0" encoding="UTF-8" standalone="yes"?>
<Relationships xmlns="http://schemas.openxmlformats.org/package/2006/relationships"><Relationship Id="rId2" Type="http://schemas.microsoft.com/office/2019/04/relationships/externalLinkLongPath" Target="8.00?489C2129" TargetMode="External"/><Relationship Id="rId1" Type="http://schemas.openxmlformats.org/officeDocument/2006/relationships/externalLinkPath" Target="file:///\\489C2129\8.00"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9.00?489C2129" TargetMode="External"/><Relationship Id="rId1" Type="http://schemas.openxmlformats.org/officeDocument/2006/relationships/externalLinkPath" Target="file:///\\489C2129\9.00"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398-5\Feasibility%20Work%20-%20Other\South%20Mimms%20Innovation%20Centre\Budgets\South%20Mimms%20Innovation%20Centre%20Cost%20Plan%2001%2022.01.0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Documents%20and%20Settings\scraven\Local%20Settings\Temporary%20Internet%20Files\OLK23\A356-3\Cost%20Plan\New%20Build%20Scheme%203\Cost%20Plans\Staplehurst%20Clinic%20-%20New%20Build%20Scheme%203%20-%20Bas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T. PAR TURNKEY"/>
      <sheetName val="INSTRUCTIONS"/>
      <sheetName val="CHANGES"/>
      <sheetName val="CONTRACT SERVICE PROVIDERS"/>
      <sheetName val="MASTER INPUT SHEET"/>
      <sheetName val="OP'S COST REPORT"/>
      <sheetName val="SUPPLIERS"/>
      <sheetName val="KING INPUT SHEET"/>
      <sheetName val="Supplier Reference list"/>
      <sheetName val="OP'S LIST"/>
      <sheetName val="Output Sheet"/>
      <sheetName val="ALT__PAR_TURNKEY"/>
      <sheetName val="CONTRACT_SERVICE_PROVIDERS"/>
      <sheetName val="MASTER_INPUT_SHEET"/>
      <sheetName val="OP'S_COST_REPORT"/>
      <sheetName val="KING_INPUT_SHEET"/>
      <sheetName val="Supplier_Reference_list"/>
      <sheetName val="OP'S_LIST"/>
      <sheetName val="Output_Sheet"/>
      <sheetName val="ALT__PAR_TURNKEY3"/>
      <sheetName val="CONTRACT_SERVICE_PROVIDERS3"/>
      <sheetName val="MASTER_INPUT_SHEET3"/>
      <sheetName val="OP'S_COST_REPORT3"/>
      <sheetName val="KING_INPUT_SHEET3"/>
      <sheetName val="Supplier_Reference_list3"/>
      <sheetName val="OP'S_LIST3"/>
      <sheetName val="Output_Sheet3"/>
      <sheetName val="ALT__PAR_TURNKEY1"/>
      <sheetName val="CONTRACT_SERVICE_PROVIDERS1"/>
      <sheetName val="MASTER_INPUT_SHEET1"/>
      <sheetName val="OP'S_COST_REPORT1"/>
      <sheetName val="KING_INPUT_SHEET1"/>
      <sheetName val="Supplier_Reference_list1"/>
      <sheetName val="OP'S_LIST1"/>
      <sheetName val="Output_Sheet1"/>
      <sheetName val="ALT__PAR_TURNKEY2"/>
      <sheetName val="CONTRACT_SERVICE_PROVIDERS2"/>
      <sheetName val="MASTER_INPUT_SHEET2"/>
      <sheetName val="OP'S_COST_REPORT2"/>
      <sheetName val="KING_INPUT_SHEET2"/>
      <sheetName val="Supplier_Reference_list2"/>
      <sheetName val="OP'S_LIST2"/>
      <sheetName val="Output_Sheet2"/>
      <sheetName val="ALT__PAR_TURNKEY4"/>
      <sheetName val="CONTRACT_SERVICE_PROVIDERS4"/>
      <sheetName val="MASTER_INPUT_SHEET4"/>
      <sheetName val="OP'S_COST_REPORT4"/>
      <sheetName val="KING_INPUT_SHEET4"/>
      <sheetName val="Supplier_Reference_list4"/>
      <sheetName val="OP'S_LIST4"/>
      <sheetName val="Output_Sheet4"/>
    </sheetNames>
    <sheetDataSet>
      <sheetData sheetId="0" refreshError="1"/>
      <sheetData sheetId="1" refreshError="1"/>
      <sheetData sheetId="2" refreshError="1"/>
      <sheetData sheetId="3" refreshError="1"/>
      <sheetData sheetId="4"/>
      <sheetData sheetId="5" refreshError="1"/>
      <sheetData sheetId="6"/>
      <sheetData sheetId="7"/>
      <sheetData sheetId="8"/>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sheetName val="Element"/>
      <sheetName val="EUQ"/>
      <sheetName val="Desc"/>
      <sheetName val="Location"/>
    </sheetNames>
    <sheetDataSet>
      <sheetData sheetId="0" refreshError="1"/>
      <sheetData sheetId="1" refreshError="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lation Calc"/>
      <sheetName val="Master Data Sheet"/>
      <sheetName val="Contents"/>
      <sheetName val="Introduction"/>
      <sheetName val="Exec. Sum"/>
      <sheetName val="Sch. Areas"/>
      <sheetName val="Basement Summary"/>
      <sheetName val="Basement Cost Plan"/>
      <sheetName val="Residential Summary"/>
      <sheetName val="Residential Cost Plan"/>
      <sheetName val="Commercial Summary"/>
      <sheetName val="Commercial Cost Plan"/>
      <sheetName val="External Works"/>
      <sheetName val="Technical fees"/>
      <sheetName val="Exclusions"/>
      <sheetName val="Levels"/>
      <sheetName val="Fit outs"/>
      <sheetName val="Specification"/>
      <sheetName val="Cash Flow"/>
      <sheetName val="Graph"/>
      <sheetName val="Risks"/>
      <sheetName val="Market Test"/>
      <sheetName val="FlySheets"/>
      <sheetName val="Module1"/>
      <sheetName val="ASFuncs"/>
      <sheetName val="cashflow macro functions"/>
      <sheetName val="Piling &amp; Transfer Beams"/>
      <sheetName val="Cover"/>
      <sheetName val="1.00"/>
      <sheetName val="2.00"/>
      <sheetName val="Executive Summary"/>
      <sheetName val="3.00"/>
      <sheetName val="Schedule of Areas"/>
      <sheetName val="4.00"/>
      <sheetName val="Car Park 1 - Upper Summary"/>
      <sheetName val="Car Park 1 Upper"/>
      <sheetName val="Car Park 1 - Lower Summary "/>
      <sheetName val="Car Park 1 Lower"/>
      <sheetName val="Car Park 2 - Summary"/>
      <sheetName val="Car Park 2"/>
      <sheetName val="DPA2 Summary A3"/>
      <sheetName val="DPA2 A3"/>
      <sheetName val="DPA2 Summary PH"/>
      <sheetName val="DPA2  PH"/>
      <sheetName val="DPA2 Summary B"/>
      <sheetName val="DPA2 B"/>
      <sheetName val="DPA2 Summary B PH"/>
      <sheetName val="DPA2 B PH"/>
      <sheetName val="DPA2 Summary C"/>
      <sheetName val="DPA2 C"/>
      <sheetName val="DPA2 Summary C PH"/>
      <sheetName val="DPA2  C PH"/>
      <sheetName val="DPA2 Summary C TH"/>
      <sheetName val="DPA2  C TH"/>
      <sheetName val="DPA3 Summary A1"/>
      <sheetName val="DPA3 A1"/>
      <sheetName val="DPA3 Summary A2"/>
      <sheetName val="DPA3 A2"/>
      <sheetName val="DPA3 Summary K2"/>
      <sheetName val="DPA3 K2"/>
      <sheetName val="DPA3 Summary K3"/>
      <sheetName val="DPA3 K3"/>
      <sheetName val="DPA4 Summary J1"/>
      <sheetName val="DPA4 J1"/>
      <sheetName val="DPA4 Summary J2"/>
      <sheetName val="DPA4 J2"/>
      <sheetName val="DPA4 Summary J3"/>
      <sheetName val="DPA4 J3"/>
      <sheetName val="DPA4 Summary J5"/>
      <sheetName val="DPA4 J5"/>
      <sheetName val="DPA4 Summary J6"/>
      <sheetName val="DPA4 J6"/>
      <sheetName val="DPA4 Summary I1"/>
      <sheetName val="DPA4 I1"/>
      <sheetName val="DPA4 Summary I2"/>
      <sheetName val="DPA4 I2"/>
      <sheetName val="DPA5 Summary G"/>
      <sheetName val="DPA5 G"/>
      <sheetName val="DPA6 Summary E AH"/>
      <sheetName val="DPA6 E AH"/>
      <sheetName val="DPA6 Summary E PH"/>
      <sheetName val="DPA6 E PH"/>
      <sheetName val="DPA6 Summary F"/>
      <sheetName val="DPA6 F"/>
      <sheetName val="DPA6 Summary F PH"/>
      <sheetName val="DPA6 F PH"/>
      <sheetName val="ST&amp;CL Summary"/>
      <sheetName val="ST&amp;CL Build Up"/>
      <sheetName val="5.00"/>
      <sheetName val="6.00"/>
      <sheetName val="Abnormals"/>
      <sheetName val="7.00"/>
      <sheetName val="Off Site Works"/>
      <sheetName val="8.00"/>
      <sheetName val="106 &amp; 278 Works"/>
      <sheetName val="9.00"/>
      <sheetName val="On Site Works"/>
      <sheetName val="10.00"/>
      <sheetName val="Inflation"/>
      <sheetName val="11.00"/>
      <sheetName val="12.00"/>
      <sheetName val="Disclaimer"/>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 Take List"/>
      <sheetName val="BCIS All-In TPI"/>
      <sheetName val="COST RATE BUILD UPS"/>
      <sheetName val="PROJECT INPUTS"/>
      <sheetName val="Cover"/>
      <sheetName val="Document Status"/>
      <sheetName val="Contents"/>
      <sheetName val="Report"/>
      <sheetName val="Appendix A"/>
      <sheetName val="Executive Summary"/>
      <sheetName val="Podium, Comm, Retail Summary"/>
      <sheetName val="Residential Summary"/>
      <sheetName val="DEMOLITION INPUTS"/>
      <sheetName val="Demolition Issue"/>
      <sheetName val="SUBSTRUCTURE INPUTS"/>
      <sheetName val="RETAIL A INPUTS"/>
      <sheetName val="Retail A Issue"/>
      <sheetName val="RETAIL B INPUTS"/>
      <sheetName val="Retail B Issue "/>
      <sheetName val="RETAIL C INPUTS "/>
      <sheetName val="Retail C Issue "/>
      <sheetName val="COMMERCIAL A INPUTS"/>
      <sheetName val="Commercial A Issue"/>
      <sheetName val="COMMERCIAL B INPUTS "/>
      <sheetName val="Commercial B Issue"/>
      <sheetName val="COMMERCIAL C INPUTS"/>
      <sheetName val="Commercial C Issue"/>
      <sheetName val="PODIUM A INPUTS"/>
      <sheetName val="Podium A Issue"/>
      <sheetName val="PODIUM B INPUTS"/>
      <sheetName val="Podium B Issue "/>
      <sheetName val="PODIUM C INPUTS"/>
      <sheetName val="Podium C Issue"/>
      <sheetName val="M+E A INPUTS"/>
      <sheetName val="M+E A Issue "/>
      <sheetName val="M+E B INPUTS "/>
      <sheetName val="M+E B Issue "/>
      <sheetName val="M+E C INPUTS"/>
      <sheetName val="M+E C Issue"/>
      <sheetName val="A1 Inputs"/>
      <sheetName val="A1 Issue"/>
      <sheetName val="A2 Inputs"/>
      <sheetName val="A2 Issue"/>
      <sheetName val="A3 Inputs "/>
      <sheetName val="A3 Issue "/>
      <sheetName val="A4 Inputs  "/>
      <sheetName val="A4 Issue"/>
      <sheetName val="A5 Inputs "/>
      <sheetName val="A5 Issue "/>
      <sheetName val="B1 Inputs "/>
      <sheetName val="B1 Issue   "/>
      <sheetName val="B2 Inputs   "/>
      <sheetName val="B2 Issue   "/>
      <sheetName val="B3 Inputs   "/>
      <sheetName val="B3 Issue   "/>
      <sheetName val="B4 Inputs    "/>
      <sheetName val="B4 Issue  "/>
      <sheetName val="B5 Inputs   "/>
      <sheetName val="B5 Issue   "/>
      <sheetName val="B6 Inputs   "/>
      <sheetName val="B6 Issue   "/>
      <sheetName val="C1 Inputs"/>
      <sheetName val="C1 Issue  "/>
      <sheetName val="C2 Inputs  "/>
      <sheetName val="C2 Issue   "/>
      <sheetName val="C3 Inputs   "/>
      <sheetName val="C3 Issue    "/>
      <sheetName val="EXTERNAL WORKS INPUTS"/>
      <sheetName val="External Works Issue"/>
      <sheetName val="SERVICES INPUTS"/>
      <sheetName val="Services Issue"/>
      <sheetName val="Appendix B"/>
      <sheetName val="Schedule of Areas"/>
      <sheetName val="Back Page"/>
      <sheetName val="Back Cover"/>
      <sheetName val="C+A"/>
      <sheetName val="BASEMENT INPUTS"/>
      <sheetName val="Basement Issue"/>
      <sheetName val="LEISURE INPUTS"/>
      <sheetName val="Leisure Iss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Flysheet"/>
      <sheetName val="Contents"/>
      <sheetName val="Summary"/>
      <sheetName val="Capital"/>
      <sheetName val="Area"/>
      <sheetName val="Basis"/>
      <sheetName val="Cashflow"/>
      <sheetName val="Workpackages"/>
      <sheetName val="Components"/>
      <sheetName val="Library"/>
      <sheetName val="Abstract"/>
      <sheetName val="Maintenance"/>
      <sheetName val="Occupancy"/>
      <sheetName val="TLC"/>
      <sheetName val="Build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Corridors"/>
      <sheetName val="Staircase"/>
      <sheetName val="Office &amp; WC"/>
      <sheetName val="Linen"/>
      <sheetName val="External Work"/>
      <sheetName val="Restaurant"/>
      <sheetName val="Touchbase"/>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ENTS"/>
      <sheetName val="BYD Summary"/>
      <sheetName val="Cost Summary"/>
      <sheetName val="BASIS &amp; EXCLUSIONS"/>
      <sheetName val="EXCLUSIONS"/>
      <sheetName val="Area Schedule"/>
      <sheetName val="Car Park Summary"/>
      <sheetName val="Car Park - Build-Up"/>
      <sheetName val="Car Park - Data"/>
      <sheetName val="CC - Summary"/>
      <sheetName val="CC - Build-Up"/>
      <sheetName val="CC - Data"/>
      <sheetName val="Block A - Summary"/>
      <sheetName val="Block A - Build-Up"/>
      <sheetName val="Block A - Data"/>
      <sheetName val="Block B - Summary"/>
      <sheetName val="Block B - Build-Up"/>
      <sheetName val="Block B - Data"/>
      <sheetName val="Block C - Summary"/>
      <sheetName val="Block C - Build-Up"/>
      <sheetName val="Block C  - Data"/>
      <sheetName val="Block D - Summary"/>
      <sheetName val="Block D - Build-Up"/>
      <sheetName val="Block D  - Data"/>
      <sheetName val="Block E - Summary"/>
      <sheetName val="Block E - Build-Up"/>
      <sheetName val="Block E - Data"/>
      <sheetName val="Tollgate Hse - Summary"/>
      <sheetName val="Tollgate Hse - Build-Up"/>
      <sheetName val="Tollgate Hse - Data"/>
      <sheetName val="External Works - Summary"/>
      <sheetName val="External Works - Build U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 (DO NOT PRINT)"/>
      <sheetName val="Validations (DO NOT PRINT)"/>
      <sheetName val="FM-509a"/>
      <sheetName val="FM-510"/>
      <sheetName val="FM-511"/>
      <sheetName val="FM-512"/>
      <sheetName val="FM-509b"/>
      <sheetName val="CashFlow_FCast"/>
      <sheetName val="CashFlow_Formulas"/>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sheetData sheetId="1"/>
      <sheetData sheetId="2"/>
      <sheetData sheetId="3"/>
      <sheetData sheetId="4"/>
      <sheetData sheetId="5"/>
      <sheetData sheetId="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Project Team"/>
      <sheetName val="Introduction"/>
      <sheetName val="Exec. Sum"/>
      <sheetName val="Sch. Areas"/>
      <sheetName val="Elemental Summary"/>
      <sheetName val="Cost Plan"/>
      <sheetName val="Exclusions"/>
      <sheetName val="Risks"/>
      <sheetName val="Cash Flow"/>
      <sheetName val="Graph"/>
      <sheetName val="Disclaimer"/>
      <sheetName val="Cover"/>
      <sheetName val="End of Cost Plan"/>
      <sheetName val="Master Data Sheet"/>
      <sheetName val="Areas calculation"/>
      <sheetName val="Levels"/>
      <sheetName val="Fit outs"/>
      <sheetName val="Specification"/>
      <sheetName val="Market Test"/>
      <sheetName val="FlySheets"/>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criptions"/>
    </sheetNames>
    <sheetDataSet>
      <sheetData sheetId="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Revisions to master"/>
      <sheetName val="ID Info"/>
      <sheetName val="Trigger Info"/>
      <sheetName val="Shopping list"/>
      <sheetName val="R&amp;M"/>
      <sheetName val="Variations"/>
      <sheetName val="Cost Report by Area"/>
      <sheetName val="Cost Report"/>
      <sheetName val="Order Schedule"/>
      <sheetName val="Write-off Schedule"/>
      <sheetName val="Schedule"/>
      <sheetName val="Bedrooms"/>
      <sheetName val="Bathroom"/>
      <sheetName val="Reception"/>
      <sheetName val="Restaurant"/>
      <sheetName val="Touchbase"/>
      <sheetName val="Corridors"/>
      <sheetName val="Staircase"/>
      <sheetName val="Office &amp; WC"/>
      <sheetName val="Linen"/>
      <sheetName val="External Work"/>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ster Data Sheet"/>
      <sheetName val="Offices"/>
      <sheetName val="BCIS Locations"/>
      <sheetName val="Sign-Off"/>
      <sheetName val="Cover"/>
      <sheetName val="Dashboard"/>
      <sheetName val="Contents"/>
      <sheetName val="Introduction"/>
      <sheetName val="Exec. Sum"/>
      <sheetName val="Exec Sum"/>
      <sheetName val="Options"/>
      <sheetName val="Reconciliation (2)"/>
      <sheetName val="Reconciliation"/>
      <sheetName val="Risks"/>
      <sheetName val="Benchmarking"/>
      <sheetName val="Scope"/>
      <sheetName val="Assumptions+Exclusions"/>
      <sheetName val="Sch. Areas"/>
      <sheetName val="Sch Areas"/>
      <sheetName val="Information Used"/>
      <sheetName val="Summary"/>
      <sheetName val="Cost Plan"/>
      <sheetName val="Cap Allowances"/>
      <sheetName val="Specification"/>
      <sheetName val="Cash Flow"/>
      <sheetName val="cashflow macro functions"/>
      <sheetName val="Risk Register"/>
      <sheetName val="Market Test"/>
      <sheetName val="Disclaimer"/>
      <sheetName val="QUANTS"/>
      <sheetName val="BASEMENT"/>
      <sheetName val="ROOF TERRACE"/>
      <sheetName val="CINEMA"/>
      <sheetName val="M&amp;E"/>
      <sheetName val="M&amp;E (2)"/>
      <sheetName val="Grd PT Slab"/>
      <sheetName val="Blank"/>
      <sheetName val="Module1"/>
      <sheetName val="CALC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sions"/>
      <sheetName val="Input Sheet"/>
      <sheetName val="Output Sheet"/>
      <sheetName val="Value by supplier exc. quotes"/>
      <sheetName val="Sheet43"/>
      <sheetName val="Addis"/>
      <sheetName val="Aslotel"/>
      <sheetName val="Ashlands"/>
      <sheetName val="Assa Abbloy"/>
      <sheetName val="Autoclock"/>
      <sheetName val="Autonumis"/>
      <sheetName val="Badgemaster"/>
      <sheetName val="Bermar"/>
      <sheetName val="Case Goods"/>
      <sheetName val="Cavalier"/>
      <sheetName val="Classic"/>
      <sheetName val="Comet"/>
      <sheetName val="Contacta"/>
      <sheetName val="Costa Coffee"/>
      <sheetName val="DMX"/>
      <sheetName val="EAS"/>
      <sheetName val="Evac Chair"/>
      <sheetName val="Gailarde"/>
      <sheetName val="Geometric"/>
      <sheetName val="Gibbs and Dandy"/>
      <sheetName val="Gideons"/>
      <sheetName val="Glasdon"/>
      <sheetName val="Hypnos"/>
      <sheetName val="ID Data"/>
      <sheetName val="Insafe"/>
      <sheetName val="Jermyn St"/>
      <sheetName val="Kellogg"/>
      <sheetName val="King"/>
      <sheetName val="Kings Cross Truck Co"/>
      <sheetName val="Link 51"/>
      <sheetName val="Lockhart"/>
      <sheetName val="London Communication"/>
      <sheetName val="Lyreco"/>
      <sheetName val="Mattison"/>
      <sheetName val="Miele"/>
      <sheetName val="HH Associates"/>
      <sheetName val="Mitre"/>
      <sheetName val="Monogram"/>
      <sheetName val="Mothercare"/>
      <sheetName val="NRG"/>
      <sheetName val="Panaz"/>
      <sheetName val="Paragon Fine Arts"/>
      <sheetName val="Plumb Centre"/>
      <sheetName val="Porter Lancastrian"/>
      <sheetName val="Protec"/>
      <sheetName val="Rentokil Tropical"/>
      <sheetName val="Reward"/>
      <sheetName val="SAFA"/>
      <sheetName val="SCCI"/>
      <sheetName val="SETON"/>
      <sheetName val="Teffont Bus Sys"/>
      <sheetName val="Tibard"/>
      <sheetName val="Vaclen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CAT A"/>
      <sheetName val="Summary"/>
      <sheetName val="Cost Plan"/>
      <sheetName val="WP Summary"/>
      <sheetName val="Indices"/>
      <sheetName val="EUQ"/>
      <sheetName val="Reconciliation"/>
    </sheetNames>
    <sheetDataSet>
      <sheetData sheetId="0"/>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ster Data Sheet"/>
      <sheetName val="Offices"/>
      <sheetName val="BCIS Locations"/>
      <sheetName val="Cover"/>
      <sheetName val="Contents"/>
      <sheetName val="Introduction 1"/>
      <sheetName val="Introduction 2"/>
      <sheetName val="Exec. Sum"/>
      <sheetName val="Sch. Areas"/>
      <sheetName val="Summary"/>
      <sheetName val="Cost Plan"/>
      <sheetName val="Cap Allowances"/>
      <sheetName val="Information Used"/>
      <sheetName val="Exclusions"/>
      <sheetName val="Cash Flow"/>
      <sheetName val="cashflow macro functions"/>
      <sheetName val="Risk Register"/>
      <sheetName val="Tenant Contributions"/>
      <sheetName val="CAT A"/>
      <sheetName val="Disclaimer"/>
      <sheetName val="Quants Schedule"/>
      <sheetName val="Sign-Off"/>
      <sheetName val="Module1"/>
      <sheetName val="Sheet1"/>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DO NOT PRINT)"/>
      <sheetName val="Custom Summary"/>
      <sheetName val="Gen Summary"/>
      <sheetName val="Elemental Summary"/>
      <sheetName val="Ass &amp; Excl"/>
      <sheetName val="Estimate"/>
      <sheetName val="Areas"/>
    </sheetNames>
    <sheetDataSet>
      <sheetData sheetId="0"/>
      <sheetData sheetId="1"/>
      <sheetData sheetId="2"/>
      <sheetData sheetId="3"/>
      <sheetData sheetId="4"/>
      <sheetData sheetId="5"/>
      <sheetData sheetId="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ents"/>
      <sheetName val="1"/>
      <sheetName val="2"/>
      <sheetName val="3"/>
      <sheetName val="4"/>
      <sheetName val="5"/>
      <sheetName val="6"/>
      <sheetName val="comp"/>
      <sheetName val="7"/>
      <sheetName val="8"/>
      <sheetName val="9"/>
    </sheetNames>
    <sheetDataSet>
      <sheetData sheetId="0"/>
      <sheetData sheetId="1"/>
      <sheetData sheetId="2"/>
      <sheetData sheetId="3"/>
      <sheetData sheetId="4"/>
      <sheetData sheetId="5" refreshError="1"/>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Blocks"/>
      <sheetName val="MDP"/>
      <sheetName val="Council"/>
      <sheetName val="Sheet29"/>
      <sheetName val="LV"/>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B25"/>
      <sheetName val="B26"/>
      <sheetName val="B27"/>
      <sheetName val="B2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 Summary"/>
      <sheetName val="Calculation Sheet"/>
      <sheetName val="OP's Input Sheet"/>
      <sheetName val="OP's Output Sheet"/>
      <sheetName val="Wolf Sheet"/>
      <sheetName val="Order Sheet"/>
      <sheetName val="Payment Schedule"/>
      <sheetName val="Graphs"/>
      <sheetName val="Variation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s>
    <sheetDataSet>
      <sheetData sheetId="0"/>
      <sheetData sheetId="1"/>
      <sheetData sheetId="2"/>
      <sheetData sheetId="3"/>
      <sheetData sheetId="4"/>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Indices"/>
      <sheetName val="Comparison"/>
      <sheetName val="Bankside123"/>
      <sheetName val="BanksideB1"/>
      <sheetName val="BanksideB2"/>
      <sheetName val="BanksideB3"/>
      <sheetName val="BanksideB4"/>
      <sheetName val="EUQ-Master"/>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truction"/>
      <sheetName val="Summary2"/>
      <sheetName val="Other Costs"/>
      <sheetName val="FitOut"/>
      <sheetName val="SUMMARY"/>
      <sheetName val="procurement contingency"/>
      <sheetName val="Chart1"/>
      <sheetName val="Sheet2"/>
      <sheetName val="(1) Construction"/>
      <sheetName val="(2) Furniture"/>
      <sheetName val="(3) AV"/>
      <sheetName val="(4) Fees"/>
      <sheetName val="(5) On Costs"/>
      <sheetName val="(6) Cont"/>
      <sheetName val="(7) Retail Contribution"/>
      <sheetName val="(8) VAT"/>
      <sheetName val="(9) IT"/>
      <sheetName val="(10) VAT"/>
      <sheetName val="Cashflow"/>
      <sheetName val="Commitment Schedule"/>
      <sheetName val="CBS"/>
      <sheetName val="Curves"/>
    </sheetNames>
    <sheetDataSet>
      <sheetData sheetId="0" refreshError="1"/>
      <sheetData sheetId="1"/>
      <sheetData sheetId="2"/>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Data"/>
      <sheetName val="Summary"/>
      <sheetName val="Cost Plan"/>
      <sheetName val="Indices"/>
      <sheetName val="EUQ"/>
      <sheetName val="EUQ old"/>
      <sheetName val="WP Summary"/>
    </sheetNames>
    <sheetDataSet>
      <sheetData sheetId="0"/>
      <sheetData sheetId="1"/>
      <sheetData sheetId="2"/>
      <sheetData sheetId="3"/>
      <sheetData sheetId="4"/>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
      <sheetName val="Control"/>
      <sheetName val="Merchandising Lab"/>
      <sheetName val="Merchandising Lab Offices"/>
      <sheetName val="New Headquarters Offices"/>
      <sheetName val="Offsite Roadwork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oup CAC"/>
      <sheetName val="Inputs"/>
      <sheetName val="QSBuild"/>
      <sheetName val="SUMMARY"/>
      <sheetName val="Profit&amp;Loss"/>
      <sheetName val="SensAnalysis"/>
      <sheetName val="Cashflow"/>
      <sheetName val="Inflation"/>
      <sheetName val="PreOpening"/>
      <sheetName val="Payroll"/>
      <sheetName val="P&amp;LDrivers"/>
      <sheetName val="Capex&amp;Lease"/>
      <sheetName val="Group_CAC"/>
      <sheetName val="Group_CAC1"/>
      <sheetName val="Group_CAC2"/>
      <sheetName val="Group_CAC3"/>
      <sheetName val="Group_CAC5"/>
      <sheetName val="Group_CAC4"/>
      <sheetName val="Group_CAC6"/>
      <sheetName val="Group_CAC8"/>
      <sheetName val="Group_CAC7"/>
      <sheetName val="Group_CAC9"/>
      <sheetName val="Group_CAC10"/>
      <sheetName val="Group_CAC11"/>
      <sheetName val="Group_CAC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Sign off"/>
      <sheetName val="Contents"/>
      <sheetName val="Summary"/>
      <sheetName val="Area"/>
      <sheetName val="Basis"/>
      <sheetName val="Elemental"/>
      <sheetName val="Components"/>
      <sheetName val="Dimensions"/>
      <sheetName val="Cashflow"/>
      <sheetName val="Annual"/>
      <sheetName val="Drawing"/>
      <sheetName val="Back"/>
      <sheetName val="Tab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1.0 Project Team"/>
      <sheetName val="2.0 Introduction"/>
      <sheetName val="3.0 Areas"/>
      <sheetName val="4.0 Exec Summary"/>
      <sheetName val="5.0 Summary Pods"/>
      <sheetName val="6.0 Build Up Pods"/>
      <sheetName val="7.0 Exclusions"/>
      <sheetName val="8.0 Disclaimer"/>
      <sheetName val="1.0Fly"/>
      <sheetName val="2.0Fly"/>
      <sheetName val="3.0Fly"/>
      <sheetName val="4.0Fly"/>
      <sheetName val="5.0Fly1"/>
      <sheetName val="6.0Fly"/>
      <sheetName val="Cat A-Change Orders"/>
      <sheetName val="7.0 Fly"/>
      <sheetName val="8.0FLY"/>
      <sheetName val="Master Data Sheet"/>
      <sheetName val="Module1"/>
      <sheetName val="Ammendment Log"/>
      <sheetName val="ASFuncs"/>
      <sheetName val="Module2 (function)"/>
      <sheetName val="cashflow macro functions"/>
      <sheetName val="1_0_Project_Team"/>
      <sheetName val="2_0_Introduction"/>
      <sheetName val="3_0_Areas"/>
      <sheetName val="4_0_Exec_Summary"/>
      <sheetName val="5_0_Summary_Pods"/>
      <sheetName val="6_0_Build_Up_Pods"/>
      <sheetName val="7_0_Exclusions"/>
      <sheetName val="8_0_Disclaimer"/>
      <sheetName val="1_0Fly"/>
      <sheetName val="2_0Fly"/>
      <sheetName val="3_0Fly"/>
      <sheetName val="4_0Fly"/>
      <sheetName val="5_0Fly1"/>
      <sheetName val="6_0Fly"/>
      <sheetName val="Cat_A-Change_Orders"/>
      <sheetName val="7_0_Fly"/>
      <sheetName val="8_0FLY"/>
      <sheetName val="Master_Data_Sheet"/>
      <sheetName val="Ammendment_Log"/>
      <sheetName val="Module2_(function)"/>
      <sheetName val="cashflow_macro_functions"/>
      <sheetName val="1_0_Project_Team1"/>
      <sheetName val="2_0_Introduction1"/>
      <sheetName val="3_0_Areas1"/>
      <sheetName val="4_0_Exec_Summary1"/>
      <sheetName val="5_0_Summary_Pods1"/>
      <sheetName val="6_0_Build_Up_Pods1"/>
      <sheetName val="7_0_Exclusions1"/>
      <sheetName val="8_0_Disclaimer1"/>
      <sheetName val="1_0Fly1"/>
      <sheetName val="2_0Fly1"/>
      <sheetName val="3_0Fly1"/>
      <sheetName val="4_0Fly1"/>
      <sheetName val="5_0Fly11"/>
      <sheetName val="6_0Fly1"/>
      <sheetName val="Cat_A-Change_Orders1"/>
      <sheetName val="7_0_Fly1"/>
      <sheetName val="8_0FLY1"/>
      <sheetName val="Master_Data_Sheet1"/>
      <sheetName val="Ammendment_Log1"/>
      <sheetName val="Module2_(function)1"/>
      <sheetName val="cashflow_macro_functions1"/>
      <sheetName val="1_0_Project_Team2"/>
      <sheetName val="2_0_Introduction2"/>
      <sheetName val="3_0_Areas2"/>
      <sheetName val="4_0_Exec_Summary2"/>
      <sheetName val="5_0_Summary_Pods2"/>
      <sheetName val="6_0_Build_Up_Pods2"/>
      <sheetName val="7_0_Exclusions2"/>
      <sheetName val="8_0_Disclaimer2"/>
      <sheetName val="1_0Fly2"/>
      <sheetName val="2_0Fly2"/>
      <sheetName val="3_0Fly2"/>
      <sheetName val="4_0Fly2"/>
      <sheetName val="5_0Fly12"/>
      <sheetName val="6_0Fly2"/>
      <sheetName val="Cat_A-Change_Orders2"/>
      <sheetName val="7_0_Fly2"/>
      <sheetName val="8_0FLY2"/>
      <sheetName val="Master_Data_Sheet2"/>
      <sheetName val="Ammendment_Log2"/>
      <sheetName val="Module2_(function)2"/>
      <sheetName val="cashflow_macro_functions2"/>
      <sheetName val="1_0_Project_Team3"/>
      <sheetName val="2_0_Introduction3"/>
      <sheetName val="3_0_Areas3"/>
      <sheetName val="4_0_Exec_Summary3"/>
      <sheetName val="5_0_Summary_Pods3"/>
      <sheetName val="6_0_Build_Up_Pods3"/>
      <sheetName val="7_0_Exclusions3"/>
      <sheetName val="8_0_Disclaimer3"/>
      <sheetName val="1_0Fly3"/>
      <sheetName val="2_0Fly3"/>
      <sheetName val="3_0Fly3"/>
      <sheetName val="4_0Fly3"/>
      <sheetName val="5_0Fly13"/>
      <sheetName val="6_0Fly3"/>
      <sheetName val="Cat_A-Change_Orders3"/>
      <sheetName val="7_0_Fly3"/>
      <sheetName val="8_0FLY3"/>
      <sheetName val="Master_Data_Sheet3"/>
      <sheetName val="Ammendment_Log3"/>
      <sheetName val="Module2_(function)3"/>
      <sheetName val="cashflow_macro_functions3"/>
      <sheetName val="1_0_Project_Team4"/>
      <sheetName val="2_0_Introduction4"/>
      <sheetName val="3_0_Areas4"/>
      <sheetName val="4_0_Exec_Summary4"/>
      <sheetName val="5_0_Summary_Pods4"/>
      <sheetName val="6_0_Build_Up_Pods4"/>
      <sheetName val="7_0_Exclusions4"/>
      <sheetName val="8_0_Disclaimer4"/>
      <sheetName val="1_0Fly4"/>
      <sheetName val="2_0Fly4"/>
      <sheetName val="3_0Fly4"/>
      <sheetName val="4_0Fly4"/>
      <sheetName val="5_0Fly14"/>
      <sheetName val="6_0Fly4"/>
      <sheetName val="Cat_A-Change_Orders4"/>
      <sheetName val="7_0_Fly4"/>
      <sheetName val="8_0FLY4"/>
      <sheetName val="Master_Data_Sheet4"/>
      <sheetName val="Ammendment_Log4"/>
      <sheetName val="Module2_(function)4"/>
      <sheetName val="cashflow_macro_functions4"/>
      <sheetName val="1_0_Project_Team5"/>
      <sheetName val="2_0_Introduction5"/>
      <sheetName val="3_0_Areas5"/>
      <sheetName val="4_0_Exec_Summary5"/>
      <sheetName val="5_0_Summary_Pods5"/>
      <sheetName val="6_0_Build_Up_Pods5"/>
      <sheetName val="7_0_Exclusions5"/>
      <sheetName val="8_0_Disclaimer5"/>
      <sheetName val="1_0Fly5"/>
      <sheetName val="2_0Fly5"/>
      <sheetName val="3_0Fly5"/>
      <sheetName val="4_0Fly5"/>
      <sheetName val="5_0Fly15"/>
      <sheetName val="6_0Fly5"/>
      <sheetName val="Cat_A-Change_Orders5"/>
      <sheetName val="7_0_Fly5"/>
      <sheetName val="8_0FLY5"/>
      <sheetName val="Master_Data_Sheet5"/>
      <sheetName val="Ammendment_Log5"/>
      <sheetName val="Module2_(function)5"/>
      <sheetName val="cashflow_macro_functions5"/>
      <sheetName val="1_0_Project_Team6"/>
      <sheetName val="2_0_Introduction6"/>
      <sheetName val="3_0_Areas6"/>
      <sheetName val="4_0_Exec_Summary6"/>
      <sheetName val="5_0_Summary_Pods6"/>
      <sheetName val="6_0_Build_Up_Pods6"/>
      <sheetName val="7_0_Exclusions6"/>
      <sheetName val="8_0_Disclaimer6"/>
      <sheetName val="1_0Fly6"/>
      <sheetName val="2_0Fly6"/>
      <sheetName val="3_0Fly6"/>
      <sheetName val="4_0Fly6"/>
      <sheetName val="5_0Fly16"/>
      <sheetName val="6_0Fly6"/>
      <sheetName val="Cat_A-Change_Orders6"/>
      <sheetName val="7_0_Fly6"/>
      <sheetName val="8_0FLY6"/>
      <sheetName val="Master_Data_Sheet6"/>
      <sheetName val="Ammendment_Log6"/>
      <sheetName val="Module2_(function)6"/>
      <sheetName val="cashflow_macro_functions6"/>
      <sheetName val="1_0_Project_Team7"/>
      <sheetName val="2_0_Introduction7"/>
      <sheetName val="3_0_Areas7"/>
      <sheetName val="4_0_Exec_Summary7"/>
      <sheetName val="5_0_Summary_Pods7"/>
      <sheetName val="6_0_Build_Up_Pods7"/>
      <sheetName val="7_0_Exclusions7"/>
      <sheetName val="8_0_Disclaimer7"/>
      <sheetName val="1_0Fly7"/>
      <sheetName val="2_0Fly7"/>
      <sheetName val="3_0Fly7"/>
      <sheetName val="4_0Fly7"/>
      <sheetName val="5_0Fly17"/>
      <sheetName val="6_0Fly7"/>
      <sheetName val="Cat_A-Change_Orders7"/>
      <sheetName val="7_0_Fly7"/>
      <sheetName val="8_0FLY7"/>
      <sheetName val="Master_Data_Sheet7"/>
      <sheetName val="Ammendment_Log7"/>
      <sheetName val="Module2_(function)7"/>
      <sheetName val="cashflow_macro_functions7"/>
      <sheetName val="1_0_Project_Team8"/>
      <sheetName val="2_0_Introduction8"/>
      <sheetName val="3_0_Areas8"/>
      <sheetName val="4_0_Exec_Summary8"/>
      <sheetName val="5_0_Summary_Pods8"/>
      <sheetName val="6_0_Build_Up_Pods8"/>
      <sheetName val="7_0_Exclusions8"/>
      <sheetName val="8_0_Disclaimer8"/>
      <sheetName val="1_0Fly8"/>
      <sheetName val="2_0Fly8"/>
      <sheetName val="3_0Fly8"/>
      <sheetName val="4_0Fly8"/>
      <sheetName val="5_0Fly18"/>
      <sheetName val="6_0Fly8"/>
      <sheetName val="Cat_A-Change_Orders8"/>
      <sheetName val="7_0_Fly8"/>
      <sheetName val="8_0FLY8"/>
      <sheetName val="Master_Data_Sheet8"/>
      <sheetName val="Ammendment_Log8"/>
      <sheetName val="Module2_(function)8"/>
      <sheetName val="cashflow_macro_functions8"/>
      <sheetName val="1_0_Project_Team9"/>
      <sheetName val="2_0_Introduction9"/>
      <sheetName val="3_0_Areas9"/>
      <sheetName val="4_0_Exec_Summary9"/>
      <sheetName val="5_0_Summary_Pods9"/>
      <sheetName val="6_0_Build_Up_Pods9"/>
      <sheetName val="7_0_Exclusions9"/>
      <sheetName val="8_0_Disclaimer9"/>
      <sheetName val="1_0Fly9"/>
      <sheetName val="2_0Fly9"/>
      <sheetName val="3_0Fly9"/>
      <sheetName val="4_0Fly9"/>
      <sheetName val="5_0Fly19"/>
      <sheetName val="6_0Fly9"/>
      <sheetName val="Cat_A-Change_Orders9"/>
      <sheetName val="7_0_Fly9"/>
      <sheetName val="8_0FLY9"/>
      <sheetName val="Master_Data_Sheet9"/>
      <sheetName val="Ammendment_Log9"/>
      <sheetName val="Module2_(function)9"/>
      <sheetName val="cashflow_macro_functions9"/>
      <sheetName val="1_0_Project_Team10"/>
      <sheetName val="2_0_Introduction10"/>
      <sheetName val="3_0_Areas10"/>
      <sheetName val="4_0_Exec_Summary10"/>
      <sheetName val="5_0_Summary_Pods10"/>
      <sheetName val="6_0_Build_Up_Pods10"/>
      <sheetName val="7_0_Exclusions10"/>
      <sheetName val="8_0_Disclaimer10"/>
      <sheetName val="1_0Fly10"/>
      <sheetName val="2_0Fly10"/>
      <sheetName val="3_0Fly10"/>
      <sheetName val="4_0Fly10"/>
      <sheetName val="5_0Fly110"/>
      <sheetName val="6_0Fly10"/>
      <sheetName val="Cat_A-Change_Orders10"/>
      <sheetName val="7_0_Fly10"/>
      <sheetName val="8_0FLY10"/>
      <sheetName val="Master_Data_Sheet10"/>
      <sheetName val="Ammendment_Log10"/>
      <sheetName val="Module2_(function)10"/>
      <sheetName val="cashflow_macro_functions10"/>
      <sheetName val="1_0_Project_Team11"/>
      <sheetName val="2_0_Introduction11"/>
      <sheetName val="3_0_Areas11"/>
      <sheetName val="4_0_Exec_Summary11"/>
      <sheetName val="5_0_Summary_Pods11"/>
      <sheetName val="6_0_Build_Up_Pods11"/>
      <sheetName val="7_0_Exclusions11"/>
      <sheetName val="8_0_Disclaimer11"/>
      <sheetName val="1_0Fly11"/>
      <sheetName val="2_0Fly11"/>
      <sheetName val="3_0Fly11"/>
      <sheetName val="4_0Fly11"/>
      <sheetName val="5_0Fly111"/>
      <sheetName val="6_0Fly11"/>
      <sheetName val="Cat_A-Change_Orders11"/>
      <sheetName val="7_0_Fly11"/>
      <sheetName val="8_0FLY11"/>
      <sheetName val="Master_Data_Sheet11"/>
      <sheetName val="Ammendment_Log11"/>
      <sheetName val="Module2_(function)11"/>
      <sheetName val="cashflow_macro_functions11"/>
      <sheetName val="1_0_Project_Team12"/>
      <sheetName val="2_0_Introduction12"/>
      <sheetName val="3_0_Areas12"/>
      <sheetName val="4_0_Exec_Summary12"/>
      <sheetName val="5_0_Summary_Pods12"/>
      <sheetName val="6_0_Build_Up_Pods12"/>
      <sheetName val="7_0_Exclusions12"/>
      <sheetName val="8_0_Disclaimer12"/>
      <sheetName val="1_0Fly12"/>
      <sheetName val="2_0Fly12"/>
      <sheetName val="3_0Fly12"/>
      <sheetName val="4_0Fly12"/>
      <sheetName val="5_0Fly112"/>
      <sheetName val="6_0Fly12"/>
      <sheetName val="Cat_A-Change_Orders12"/>
      <sheetName val="7_0_Fly12"/>
      <sheetName val="8_0FLY12"/>
      <sheetName val="Master_Data_Sheet12"/>
      <sheetName val="Ammendment_Log12"/>
      <sheetName val="Module2_(function)12"/>
      <sheetName val="cashflow_macro_functions12"/>
      <sheetName val="1_0_Project_Team13"/>
      <sheetName val="2_0_Introduction13"/>
      <sheetName val="3_0_Areas13"/>
      <sheetName val="4_0_Exec_Summary13"/>
      <sheetName val="5_0_Summary_Pods13"/>
      <sheetName val="6_0_Build_Up_Pods13"/>
      <sheetName val="7_0_Exclusions13"/>
      <sheetName val="8_0_Disclaimer13"/>
      <sheetName val="1_0Fly13"/>
      <sheetName val="2_0Fly13"/>
      <sheetName val="3_0Fly13"/>
      <sheetName val="4_0Fly13"/>
      <sheetName val="5_0Fly113"/>
      <sheetName val="6_0Fly13"/>
      <sheetName val="Cat_A-Change_Orders13"/>
      <sheetName val="7_0_Fly13"/>
      <sheetName val="8_0FLY13"/>
      <sheetName val="Master_Data_Sheet13"/>
      <sheetName val="Ammendment_Log13"/>
      <sheetName val="Module2_(function)13"/>
      <sheetName val="cashflow_macro_functions13"/>
      <sheetName val="1_0_Project_Team14"/>
      <sheetName val="2_0_Introduction14"/>
      <sheetName val="3_0_Areas14"/>
      <sheetName val="4_0_Exec_Summary14"/>
      <sheetName val="5_0_Summary_Pods14"/>
      <sheetName val="6_0_Build_Up_Pods14"/>
      <sheetName val="7_0_Exclusions14"/>
      <sheetName val="8_0_Disclaimer14"/>
      <sheetName val="1_0Fly14"/>
      <sheetName val="2_0Fly14"/>
      <sheetName val="3_0Fly14"/>
      <sheetName val="4_0Fly14"/>
      <sheetName val="5_0Fly114"/>
      <sheetName val="6_0Fly14"/>
      <sheetName val="Cat_A-Change_Orders14"/>
      <sheetName val="7_0_Fly14"/>
      <sheetName val="8_0FLY14"/>
      <sheetName val="Master_Data_Sheet14"/>
      <sheetName val="Ammendment_Log14"/>
      <sheetName val="Module2_(function)14"/>
      <sheetName val="cashflow_macro_functions14"/>
      <sheetName val="1_0_Project_Team15"/>
      <sheetName val="2_0_Introduction15"/>
      <sheetName val="3_0_Areas15"/>
      <sheetName val="4_0_Exec_Summary15"/>
      <sheetName val="5_0_Summary_Pods15"/>
      <sheetName val="6_0_Build_Up_Pods15"/>
      <sheetName val="7_0_Exclusions15"/>
      <sheetName val="8_0_Disclaimer15"/>
      <sheetName val="1_0Fly15"/>
      <sheetName val="2_0Fly15"/>
      <sheetName val="3_0Fly15"/>
      <sheetName val="4_0Fly15"/>
      <sheetName val="5_0Fly115"/>
      <sheetName val="6_0Fly15"/>
      <sheetName val="Cat_A-Change_Orders15"/>
      <sheetName val="7_0_Fly15"/>
      <sheetName val="8_0FLY15"/>
      <sheetName val="Master_Data_Sheet15"/>
      <sheetName val="Ammendment_Log15"/>
      <sheetName val="Module2_(function)15"/>
      <sheetName val="cashflow_macro_functions15"/>
      <sheetName val="1_0_Project_Team16"/>
      <sheetName val="2_0_Introduction16"/>
      <sheetName val="3_0_Areas16"/>
      <sheetName val="4_0_Exec_Summary16"/>
      <sheetName val="5_0_Summary_Pods16"/>
      <sheetName val="6_0_Build_Up_Pods16"/>
      <sheetName val="7_0_Exclusions16"/>
      <sheetName val="8_0_Disclaimer16"/>
      <sheetName val="1_0Fly16"/>
      <sheetName val="2_0Fly16"/>
      <sheetName val="3_0Fly16"/>
      <sheetName val="4_0Fly16"/>
      <sheetName val="5_0Fly116"/>
      <sheetName val="6_0Fly16"/>
      <sheetName val="Cat_A-Change_Orders16"/>
      <sheetName val="7_0_Fly16"/>
      <sheetName val="8_0FLY16"/>
      <sheetName val="Master_Data_Sheet16"/>
      <sheetName val="Ammendment_Log16"/>
      <sheetName val="Module2_(function)16"/>
      <sheetName val="cashflow_macro_functions16"/>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0"/>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Master Data Sheet"/>
      <sheetName val="Contents"/>
      <sheetName val="Project Team"/>
      <sheetName val="Introduction"/>
      <sheetName val="Disclaimer"/>
      <sheetName val="Exclusions"/>
      <sheetName val="Schedule of Areas"/>
      <sheetName val="CAF"/>
      <sheetName val="Elemental Summary"/>
      <sheetName val="Cost Plan"/>
      <sheetName val="Risks"/>
      <sheetName val="End of Cost Plan"/>
      <sheetName val="Cover (1)"/>
      <sheetName val="END OF REPORT"/>
      <sheetName val="Dimensions"/>
      <sheetName val="Conversion Works Summary"/>
      <sheetName val="OP's"/>
      <sheetName val="Electrical Costs"/>
      <sheetName val="Mechanical Costs"/>
      <sheetName val="Exec. Sum"/>
      <sheetName val="Areas calculation"/>
      <sheetName val="Cash Flow"/>
      <sheetName val="Graph"/>
      <sheetName val="New item"/>
      <sheetName val="RATES"/>
      <sheetName val="Levels"/>
      <sheetName val="Fit outs"/>
      <sheetName val="Specification"/>
      <sheetName val="Market Test"/>
      <sheetName val="FlySheets"/>
      <sheetName val="Module1"/>
      <sheetName val="ASFuncs"/>
      <sheetName val="cashflow macro functions"/>
      <sheetName val="Master Data Sheet (2)"/>
      <sheetName val="FLY 1"/>
      <sheetName val="FLY 2"/>
      <sheetName val="Main Summary"/>
      <sheetName val="Project Summary"/>
      <sheetName val="FLY 3"/>
      <sheetName val="Schedule"/>
      <sheetName val="FLY 4"/>
      <sheetName val="OfficeConversion"/>
      <sheetName val="FLY 5"/>
      <sheetName val="Bedroom Extension"/>
      <sheetName val="PAR (2)"/>
      <sheetName val="FLY 6"/>
      <sheetName val="N&amp;A"/>
      <sheetName val="END"/>
      <sheetName val="Contents "/>
      <sheetName val="Introduction "/>
      <sheetName val="Ex Summary"/>
      <sheetName val="NB Sch. Areas"/>
      <sheetName val="Bedroom Sum"/>
      <sheetName val="Std Bedroom ESum (1)"/>
      <sheetName val="Std Bedroom CP (1)"/>
      <sheetName val="Std Bedroom ESum (2)"/>
      <sheetName val="Std Bedroom CP (2)"/>
      <sheetName val="Suite Bedroom ESum "/>
      <sheetName val="Suite Bedroom CP"/>
      <sheetName val="Corridor ESum"/>
      <sheetName val="Corridor CP"/>
      <sheetName val="Room Summary"/>
      <sheetName val="NB Elemental Summary"/>
      <sheetName val="NB Cost Plan"/>
      <sheetName val="R Sch. Areas"/>
      <sheetName val="R Elemental Summary"/>
      <sheetName val="R Cost Plan"/>
      <sheetName val="R ex Sch. Areas"/>
      <sheetName val="Room M&amp;E"/>
      <sheetName val="Public Summary"/>
      <sheetName val="Public BW"/>
      <sheetName val="Public FF&amp;E"/>
      <sheetName val="Gnd Inf M&amp;E"/>
      <sheetName val="B Inf M&amp;E"/>
      <sheetName val="Gen Inf M&amp;E"/>
      <sheetName val="Major Capex"/>
      <sheetName val="Fees"/>
      <sheetName val="Drawings"/>
      <sheetName val="Front Cover "/>
      <sheetName val="Exc Summary"/>
      <sheetName val="Sch. Areas"/>
      <sheetName val="Committed Forecast"/>
      <sheetName val="Pre Con"/>
      <sheetName val="Fee Proposal"/>
      <sheetName val="Cost Summary"/>
      <sheetName val="Prov Sums "/>
      <sheetName val="Broadoak Elemental Summary"/>
      <sheetName val="Prov Sums"/>
      <sheetName val="BOak Ex over to Tender"/>
      <sheetName val="Broadoak Qualifications"/>
      <sheetName val="Fee Proposal "/>
      <sheetName val="Appointment Docs Position"/>
      <sheetName val="Insurances"/>
      <sheetName val="Bedroom Forecast"/>
      <sheetName val="Committed"/>
      <sheetName val="Variations TBC"/>
      <sheetName val="CPlan D Bedroom Sum"/>
      <sheetName val="Fees 2"/>
      <sheetName val="Rotunda ESum"/>
      <sheetName val="Zone 1 ESum"/>
      <sheetName val="Zone 1 CP"/>
      <sheetName val="Zone 2 ESum"/>
      <sheetName val="Zone 2 CP"/>
      <sheetName val="Zone 3 ESum"/>
      <sheetName val="Zone 3 CP"/>
      <sheetName val="Zone 4 ESum"/>
      <sheetName val="Zone 4 CP"/>
      <sheetName val="Zone 5 ESum"/>
      <sheetName val="Zone 5 CP"/>
      <sheetName val="Zone 6 ESum"/>
      <sheetName val="Zone 6 CP"/>
      <sheetName val="Zone 7 ESum"/>
      <sheetName val="Zone 7 CP"/>
      <sheetName val="Master_Data_Sheet"/>
      <sheetName val="Project_Team"/>
      <sheetName val="Schedule_of_Areas"/>
      <sheetName val="Elemental_Summary"/>
      <sheetName val="Cost_Plan"/>
      <sheetName val="End_of_Cost_Plan"/>
      <sheetName val="Cover_(1)"/>
      <sheetName val="END_OF_REPORT"/>
      <sheetName val="Conversion_Works_Summary"/>
      <sheetName val="Electrical_Costs"/>
      <sheetName val="Mechanical_Costs"/>
      <sheetName val="Exec__Sum"/>
      <sheetName val="Areas_calculation"/>
      <sheetName val="Cash_Flow"/>
      <sheetName val="New_item"/>
      <sheetName val="Fit_outs"/>
      <sheetName val="Market_Test"/>
      <sheetName val="cashflow_macro_functions"/>
      <sheetName val="Master_Data_Sheet_(2)"/>
      <sheetName val="FLY_1"/>
      <sheetName val="FLY_2"/>
      <sheetName val="Main_Summary"/>
      <sheetName val="Project_Summary"/>
      <sheetName val="FLY_3"/>
      <sheetName val="FLY_4"/>
      <sheetName val="FLY_5"/>
      <sheetName val="Bedroom_Extension"/>
      <sheetName val="PAR_(2)"/>
      <sheetName val="FLY_6"/>
      <sheetName val="Contents_"/>
      <sheetName val="Introduction_"/>
      <sheetName val="Ex_Summary"/>
      <sheetName val="NB_Sch__Areas"/>
      <sheetName val="Bedroom_Sum"/>
      <sheetName val="Std_Bedroom_ESum_(1)"/>
      <sheetName val="Std_Bedroom_CP_(1)"/>
      <sheetName val="Std_Bedroom_ESum_(2)"/>
      <sheetName val="Std_Bedroom_CP_(2)"/>
      <sheetName val="Suite_Bedroom_ESum_"/>
      <sheetName val="Suite_Bedroom_CP"/>
      <sheetName val="Corridor_ESum"/>
      <sheetName val="Corridor_CP"/>
      <sheetName val="Room_Summary"/>
      <sheetName val="NB_Elemental_Summary"/>
      <sheetName val="NB_Cost_Plan"/>
      <sheetName val="R_Sch__Areas"/>
      <sheetName val="R_Elemental_Summary"/>
      <sheetName val="R_Cost_Plan"/>
      <sheetName val="R_ex_Sch__Areas"/>
      <sheetName val="Room_M&amp;E"/>
      <sheetName val="Public_Summary"/>
      <sheetName val="Public_BW"/>
      <sheetName val="Public_FF&amp;E"/>
      <sheetName val="Gnd_Inf_M&amp;E"/>
      <sheetName val="B_Inf_M&amp;E"/>
      <sheetName val="Gen_Inf_M&amp;E"/>
      <sheetName val="Major_Capex"/>
      <sheetName val="Front_Cover_"/>
      <sheetName val="Exc_Summary"/>
      <sheetName val="Sch__Areas"/>
      <sheetName val="Committed_Forecast"/>
      <sheetName val="Pre_Con"/>
      <sheetName val="Fee_Proposal"/>
      <sheetName val="Cost_Summary"/>
      <sheetName val="Prov_Sums_"/>
      <sheetName val="Broadoak_Elemental_Summary"/>
      <sheetName val="Prov_Sums"/>
      <sheetName val="BOak_Ex_over_to_Tender"/>
      <sheetName val="Broadoak_Qualifications"/>
      <sheetName val="Fee_Proposal_"/>
      <sheetName val="Appointment_Docs_Position"/>
      <sheetName val="Bedroom_Forecast"/>
      <sheetName val="Variations_TBC"/>
      <sheetName val="CPlan_D_Bedroom_Sum"/>
      <sheetName val="Fees_2"/>
      <sheetName val="Rotunda_ESum"/>
      <sheetName val="Zone_1_ESum"/>
      <sheetName val="Zone_1_CP"/>
      <sheetName val="Zone_2_ESum"/>
      <sheetName val="Zone_2_CP"/>
      <sheetName val="Zone_3_ESum"/>
      <sheetName val="Zone_3_CP"/>
      <sheetName val="Zone_4_ESum"/>
      <sheetName val="Zone_4_CP"/>
      <sheetName val="Zone_5_ESum"/>
      <sheetName val="Zone_5_CP"/>
      <sheetName val="Zone_6_ESum"/>
      <sheetName val="Zone_6_CP"/>
      <sheetName val="Zone_7_ESum"/>
      <sheetName val="Zone_7_CP"/>
      <sheetName val="Master_Data_Sheet1"/>
      <sheetName val="Project_Team1"/>
      <sheetName val="Schedule_of_Areas1"/>
      <sheetName val="Elemental_Summary1"/>
      <sheetName val="Cost_Plan1"/>
      <sheetName val="End_of_Cost_Plan1"/>
      <sheetName val="Cover_(1)1"/>
      <sheetName val="END_OF_REPORT1"/>
      <sheetName val="Conversion_Works_Summary1"/>
      <sheetName val="Electrical_Costs1"/>
      <sheetName val="Mechanical_Costs1"/>
      <sheetName val="Exec__Sum1"/>
      <sheetName val="Areas_calculation1"/>
      <sheetName val="Cash_Flow1"/>
      <sheetName val="New_item1"/>
      <sheetName val="Fit_outs1"/>
      <sheetName val="Market_Test1"/>
      <sheetName val="cashflow_macro_functions1"/>
      <sheetName val="Master_Data_Sheet_(2)1"/>
      <sheetName val="FLY_11"/>
      <sheetName val="FLY_21"/>
      <sheetName val="Main_Summary1"/>
      <sheetName val="Project_Summary1"/>
      <sheetName val="FLY_31"/>
      <sheetName val="FLY_41"/>
      <sheetName val="FLY_51"/>
      <sheetName val="Bedroom_Extension1"/>
      <sheetName val="PAR_(2)1"/>
      <sheetName val="FLY_61"/>
      <sheetName val="Contents_1"/>
      <sheetName val="Introduction_1"/>
      <sheetName val="Ex_Summary1"/>
      <sheetName val="NB_Sch__Areas1"/>
      <sheetName val="Bedroom_Sum1"/>
      <sheetName val="Std_Bedroom_ESum_(1)1"/>
      <sheetName val="Std_Bedroom_CP_(1)1"/>
      <sheetName val="Std_Bedroom_ESum_(2)1"/>
      <sheetName val="Std_Bedroom_CP_(2)1"/>
      <sheetName val="Suite_Bedroom_ESum_1"/>
      <sheetName val="Suite_Bedroom_CP1"/>
      <sheetName val="Corridor_ESum1"/>
      <sheetName val="Corridor_CP1"/>
      <sheetName val="Room_Summary1"/>
      <sheetName val="NB_Elemental_Summary1"/>
      <sheetName val="NB_Cost_Plan1"/>
      <sheetName val="R_Sch__Areas1"/>
      <sheetName val="R_Elemental_Summary1"/>
      <sheetName val="R_Cost_Plan1"/>
      <sheetName val="R_ex_Sch__Areas1"/>
      <sheetName val="Room_M&amp;E1"/>
      <sheetName val="Public_Summary1"/>
      <sheetName val="Public_BW1"/>
      <sheetName val="Public_FF&amp;E1"/>
      <sheetName val="Gnd_Inf_M&amp;E1"/>
      <sheetName val="B_Inf_M&amp;E1"/>
      <sheetName val="Gen_Inf_M&amp;E1"/>
      <sheetName val="Major_Capex1"/>
      <sheetName val="Front_Cover_1"/>
      <sheetName val="Exc_Summary1"/>
      <sheetName val="Sch__Areas1"/>
      <sheetName val="Committed_Forecast1"/>
      <sheetName val="Pre_Con1"/>
      <sheetName val="Fee_Proposal1"/>
      <sheetName val="Cost_Summary1"/>
      <sheetName val="Prov_Sums_1"/>
      <sheetName val="Broadoak_Elemental_Summary1"/>
      <sheetName val="Prov_Sums1"/>
      <sheetName val="BOak_Ex_over_to_Tender1"/>
      <sheetName val="Broadoak_Qualifications1"/>
      <sheetName val="Fee_Proposal_1"/>
      <sheetName val="Appointment_Docs_Position1"/>
      <sheetName val="Bedroom_Forecast1"/>
      <sheetName val="Variations_TBC1"/>
      <sheetName val="CPlan_D_Bedroom_Sum1"/>
      <sheetName val="Fees_21"/>
      <sheetName val="Rotunda_ESum1"/>
      <sheetName val="Zone_1_ESum1"/>
      <sheetName val="Zone_1_CP1"/>
      <sheetName val="Zone_2_ESum1"/>
      <sheetName val="Zone_2_CP1"/>
      <sheetName val="Zone_3_ESum1"/>
      <sheetName val="Zone_3_CP1"/>
      <sheetName val="Zone_4_ESum1"/>
      <sheetName val="Zone_4_CP1"/>
      <sheetName val="Zone_5_ESum1"/>
      <sheetName val="Zone_5_CP1"/>
      <sheetName val="Zone_6_ESum1"/>
      <sheetName val="Zone_6_CP1"/>
      <sheetName val="Zone_7_ESum1"/>
      <sheetName val="Zone_7_CP1"/>
      <sheetName val="Master_Data_Sheet2"/>
      <sheetName val="Project_Team2"/>
      <sheetName val="Schedule_of_Areas2"/>
      <sheetName val="Elemental_Summary2"/>
      <sheetName val="Cost_Plan2"/>
      <sheetName val="End_of_Cost_Plan2"/>
      <sheetName val="Cover_(1)2"/>
      <sheetName val="END_OF_REPORT2"/>
      <sheetName val="Conversion_Works_Summary2"/>
      <sheetName val="Electrical_Costs2"/>
      <sheetName val="Mechanical_Costs2"/>
      <sheetName val="Exec__Sum2"/>
      <sheetName val="Areas_calculation2"/>
      <sheetName val="Cash_Flow2"/>
      <sheetName val="New_item2"/>
      <sheetName val="Fit_outs2"/>
      <sheetName val="Market_Test2"/>
      <sheetName val="cashflow_macro_functions2"/>
      <sheetName val="Master_Data_Sheet_(2)2"/>
      <sheetName val="FLY_12"/>
      <sheetName val="FLY_22"/>
      <sheetName val="Main_Summary2"/>
      <sheetName val="Project_Summary2"/>
      <sheetName val="FLY_32"/>
      <sheetName val="FLY_42"/>
      <sheetName val="FLY_52"/>
      <sheetName val="Bedroom_Extension2"/>
      <sheetName val="PAR_(2)2"/>
      <sheetName val="FLY_62"/>
      <sheetName val="Contents_2"/>
      <sheetName val="Introduction_2"/>
      <sheetName val="Ex_Summary2"/>
      <sheetName val="NB_Sch__Areas2"/>
      <sheetName val="Bedroom_Sum2"/>
      <sheetName val="Std_Bedroom_ESum_(1)2"/>
      <sheetName val="Std_Bedroom_CP_(1)2"/>
      <sheetName val="Std_Bedroom_ESum_(2)2"/>
      <sheetName val="Std_Bedroom_CP_(2)2"/>
      <sheetName val="Suite_Bedroom_ESum_2"/>
      <sheetName val="Suite_Bedroom_CP2"/>
      <sheetName val="Corridor_ESum2"/>
      <sheetName val="Corridor_CP2"/>
      <sheetName val="Room_Summary2"/>
      <sheetName val="NB_Elemental_Summary2"/>
      <sheetName val="NB_Cost_Plan2"/>
      <sheetName val="R_Sch__Areas2"/>
      <sheetName val="R_Elemental_Summary2"/>
      <sheetName val="R_Cost_Plan2"/>
      <sheetName val="R_ex_Sch__Areas2"/>
      <sheetName val="Room_M&amp;E2"/>
      <sheetName val="Public_Summary2"/>
      <sheetName val="Public_BW2"/>
      <sheetName val="Public_FF&amp;E2"/>
      <sheetName val="Gnd_Inf_M&amp;E2"/>
      <sheetName val="B_Inf_M&amp;E2"/>
      <sheetName val="Gen_Inf_M&amp;E2"/>
      <sheetName val="Major_Capex2"/>
      <sheetName val="Front_Cover_2"/>
      <sheetName val="Exc_Summary2"/>
      <sheetName val="Sch__Areas2"/>
      <sheetName val="Committed_Forecast2"/>
      <sheetName val="Pre_Con2"/>
      <sheetName val="Fee_Proposal2"/>
      <sheetName val="Cost_Summary2"/>
      <sheetName val="Prov_Sums_2"/>
      <sheetName val="Broadoak_Elemental_Summary2"/>
      <sheetName val="Prov_Sums2"/>
      <sheetName val="BOak_Ex_over_to_Tender2"/>
      <sheetName val="Broadoak_Qualifications2"/>
      <sheetName val="Fee_Proposal_2"/>
      <sheetName val="Appointment_Docs_Position2"/>
      <sheetName val="Bedroom_Forecast2"/>
      <sheetName val="Variations_TBC2"/>
      <sheetName val="CPlan_D_Bedroom_Sum2"/>
      <sheetName val="Fees_22"/>
      <sheetName val="Rotunda_ESum2"/>
      <sheetName val="Zone_1_ESum2"/>
      <sheetName val="Zone_1_CP2"/>
      <sheetName val="Zone_2_ESum2"/>
      <sheetName val="Zone_2_CP2"/>
      <sheetName val="Zone_3_ESum2"/>
      <sheetName val="Zone_3_CP2"/>
      <sheetName val="Zone_4_ESum2"/>
      <sheetName val="Zone_4_CP2"/>
      <sheetName val="Zone_5_ESum2"/>
      <sheetName val="Zone_5_CP2"/>
      <sheetName val="Zone_6_ESum2"/>
      <sheetName val="Zone_6_CP2"/>
      <sheetName val="Zone_7_ESum2"/>
      <sheetName val="Zone_7_CP2"/>
      <sheetName val="Master_Data_Sheet3"/>
      <sheetName val="Project_Team3"/>
      <sheetName val="Schedule_of_Areas3"/>
      <sheetName val="Elemental_Summary3"/>
      <sheetName val="Cost_Plan3"/>
      <sheetName val="End_of_Cost_Plan3"/>
      <sheetName val="Cover_(1)3"/>
      <sheetName val="END_OF_REPORT3"/>
      <sheetName val="Conversion_Works_Summary3"/>
      <sheetName val="Electrical_Costs3"/>
      <sheetName val="Mechanical_Costs3"/>
      <sheetName val="Exec__Sum3"/>
      <sheetName val="Areas_calculation3"/>
      <sheetName val="Cash_Flow3"/>
      <sheetName val="New_item3"/>
      <sheetName val="Fit_outs3"/>
      <sheetName val="Market_Test3"/>
      <sheetName val="cashflow_macro_functions3"/>
      <sheetName val="Master_Data_Sheet_(2)3"/>
      <sheetName val="FLY_13"/>
      <sheetName val="FLY_23"/>
      <sheetName val="Main_Summary3"/>
      <sheetName val="Project_Summary3"/>
      <sheetName val="FLY_33"/>
      <sheetName val="FLY_43"/>
      <sheetName val="FLY_53"/>
      <sheetName val="Bedroom_Extension3"/>
      <sheetName val="PAR_(2)3"/>
      <sheetName val="FLY_63"/>
      <sheetName val="Contents_3"/>
      <sheetName val="Introduction_3"/>
      <sheetName val="Ex_Summary3"/>
      <sheetName val="NB_Sch__Areas3"/>
      <sheetName val="Bedroom_Sum3"/>
      <sheetName val="Std_Bedroom_ESum_(1)3"/>
      <sheetName val="Std_Bedroom_CP_(1)3"/>
      <sheetName val="Std_Bedroom_ESum_(2)3"/>
      <sheetName val="Std_Bedroom_CP_(2)3"/>
      <sheetName val="Suite_Bedroom_ESum_3"/>
      <sheetName val="Suite_Bedroom_CP3"/>
      <sheetName val="Corridor_ESum3"/>
      <sheetName val="Corridor_CP3"/>
      <sheetName val="Room_Summary3"/>
      <sheetName val="NB_Elemental_Summary3"/>
      <sheetName val="NB_Cost_Plan3"/>
      <sheetName val="R_Sch__Areas3"/>
      <sheetName val="R_Elemental_Summary3"/>
      <sheetName val="R_Cost_Plan3"/>
      <sheetName val="R_ex_Sch__Areas3"/>
      <sheetName val="Room_M&amp;E3"/>
      <sheetName val="Public_Summary3"/>
      <sheetName val="Public_BW3"/>
      <sheetName val="Public_FF&amp;E3"/>
      <sheetName val="Gnd_Inf_M&amp;E3"/>
      <sheetName val="B_Inf_M&amp;E3"/>
      <sheetName val="Gen_Inf_M&amp;E3"/>
      <sheetName val="Major_Capex3"/>
      <sheetName val="Front_Cover_3"/>
      <sheetName val="Exc_Summary3"/>
      <sheetName val="Sch__Areas3"/>
      <sheetName val="Committed_Forecast3"/>
      <sheetName val="Pre_Con3"/>
      <sheetName val="Fee_Proposal3"/>
      <sheetName val="Cost_Summary3"/>
      <sheetName val="Prov_Sums_3"/>
      <sheetName val="Broadoak_Elemental_Summary3"/>
      <sheetName val="Prov_Sums3"/>
      <sheetName val="BOak_Ex_over_to_Tender3"/>
      <sheetName val="Broadoak_Qualifications3"/>
      <sheetName val="Fee_Proposal_3"/>
      <sheetName val="Appointment_Docs_Position3"/>
      <sheetName val="Bedroom_Forecast3"/>
      <sheetName val="Variations_TBC3"/>
      <sheetName val="CPlan_D_Bedroom_Sum3"/>
      <sheetName val="Fees_23"/>
      <sheetName val="Rotunda_ESum3"/>
      <sheetName val="Zone_1_ESum3"/>
      <sheetName val="Zone_1_CP3"/>
      <sheetName val="Zone_2_ESum3"/>
      <sheetName val="Zone_2_CP3"/>
      <sheetName val="Zone_3_ESum3"/>
      <sheetName val="Zone_3_CP3"/>
      <sheetName val="Zone_4_ESum3"/>
      <sheetName val="Zone_4_CP3"/>
      <sheetName val="Zone_5_ESum3"/>
      <sheetName val="Zone_5_CP3"/>
      <sheetName val="Zone_6_ESum3"/>
      <sheetName val="Zone_6_CP3"/>
      <sheetName val="Zone_7_ESum3"/>
      <sheetName val="Zone_7_CP3"/>
      <sheetName val="Master_Data_Sheet4"/>
      <sheetName val="Project_Team4"/>
      <sheetName val="Schedule_of_Areas4"/>
      <sheetName val="Elemental_Summary4"/>
      <sheetName val="Cost_Plan4"/>
      <sheetName val="End_of_Cost_Plan4"/>
      <sheetName val="Cover_(1)4"/>
      <sheetName val="END_OF_REPORT4"/>
      <sheetName val="Conversion_Works_Summary4"/>
      <sheetName val="Electrical_Costs4"/>
      <sheetName val="Mechanical_Costs4"/>
      <sheetName val="Exec__Sum4"/>
      <sheetName val="Areas_calculation4"/>
      <sheetName val="Cash_Flow4"/>
      <sheetName val="New_item4"/>
      <sheetName val="Fit_outs4"/>
      <sheetName val="Market_Test4"/>
      <sheetName val="cashflow_macro_functions4"/>
      <sheetName val="Master_Data_Sheet_(2)4"/>
      <sheetName val="FLY_14"/>
      <sheetName val="FLY_24"/>
      <sheetName val="Main_Summary4"/>
      <sheetName val="Project_Summary4"/>
      <sheetName val="FLY_34"/>
      <sheetName val="FLY_44"/>
      <sheetName val="FLY_54"/>
      <sheetName val="Bedroom_Extension4"/>
      <sheetName val="PAR_(2)4"/>
      <sheetName val="FLY_64"/>
      <sheetName val="Master_Data_Sheet6"/>
      <sheetName val="Project_Team6"/>
      <sheetName val="Schedule_of_Areas6"/>
      <sheetName val="Elemental_Summary6"/>
      <sheetName val="Cost_Plan6"/>
      <sheetName val="End_of_Cost_Plan6"/>
      <sheetName val="Cover_(1)6"/>
      <sheetName val="END_OF_REPORT6"/>
      <sheetName val="Conversion_Works_Summary6"/>
      <sheetName val="Electrical_Costs6"/>
      <sheetName val="Mechanical_Costs6"/>
      <sheetName val="Exec__Sum6"/>
      <sheetName val="Areas_calculation6"/>
      <sheetName val="Cash_Flow6"/>
      <sheetName val="New_item6"/>
      <sheetName val="Fit_outs6"/>
      <sheetName val="Market_Test6"/>
      <sheetName val="cashflow_macro_functions6"/>
      <sheetName val="Master_Data_Sheet_(2)6"/>
      <sheetName val="FLY_16"/>
      <sheetName val="FLY_26"/>
      <sheetName val="Main_Summary6"/>
      <sheetName val="Project_Summary6"/>
      <sheetName val="FLY_36"/>
      <sheetName val="FLY_46"/>
      <sheetName val="FLY_56"/>
      <sheetName val="Bedroom_Extension6"/>
      <sheetName val="PAR_(2)6"/>
      <sheetName val="FLY_66"/>
      <sheetName val="Contents_5"/>
      <sheetName val="Introduction_5"/>
      <sheetName val="Ex_Summary5"/>
      <sheetName val="NB_Sch__Areas5"/>
      <sheetName val="Bedroom_Sum5"/>
      <sheetName val="Std_Bedroom_ESum_(1)5"/>
      <sheetName val="Std_Bedroom_CP_(1)5"/>
      <sheetName val="Std_Bedroom_ESum_(2)5"/>
      <sheetName val="Std_Bedroom_CP_(2)5"/>
      <sheetName val="Suite_Bedroom_ESum_5"/>
      <sheetName val="Suite_Bedroom_CP5"/>
      <sheetName val="Corridor_ESum5"/>
      <sheetName val="Corridor_CP5"/>
      <sheetName val="Room_Summary5"/>
      <sheetName val="NB_Elemental_Summary5"/>
      <sheetName val="NB_Cost_Plan5"/>
      <sheetName val="R_Sch__Areas5"/>
      <sheetName val="R_Elemental_Summary5"/>
      <sheetName val="R_Cost_Plan5"/>
      <sheetName val="R_ex_Sch__Areas5"/>
      <sheetName val="Room_M&amp;E5"/>
      <sheetName val="Public_Summary5"/>
      <sheetName val="Public_BW5"/>
      <sheetName val="Public_FF&amp;E5"/>
      <sheetName val="Gnd_Inf_M&amp;E5"/>
      <sheetName val="B_Inf_M&amp;E5"/>
      <sheetName val="Gen_Inf_M&amp;E5"/>
      <sheetName val="Major_Capex5"/>
      <sheetName val="Front_Cover_5"/>
      <sheetName val="Exc_Summary5"/>
      <sheetName val="Sch__Areas5"/>
      <sheetName val="Committed_Forecast5"/>
      <sheetName val="Pre_Con5"/>
      <sheetName val="Fee_Proposal5"/>
      <sheetName val="Cost_Summary5"/>
      <sheetName val="Prov_Sums_5"/>
      <sheetName val="Broadoak_Elemental_Summary5"/>
      <sheetName val="Prov_Sums5"/>
      <sheetName val="BOak_Ex_over_to_Tender5"/>
      <sheetName val="Broadoak_Qualifications5"/>
      <sheetName val="Fee_Proposal_5"/>
      <sheetName val="Appointment_Docs_Position5"/>
      <sheetName val="Bedroom_Forecast5"/>
      <sheetName val="Variations_TBC5"/>
      <sheetName val="CPlan_D_Bedroom_Sum5"/>
      <sheetName val="Fees_25"/>
      <sheetName val="Rotunda_ESum5"/>
      <sheetName val="Zone_1_ESum5"/>
      <sheetName val="Zone_1_CP5"/>
      <sheetName val="Zone_2_ESum5"/>
      <sheetName val="Zone_2_CP5"/>
      <sheetName val="Zone_3_ESum5"/>
      <sheetName val="Zone_3_CP5"/>
      <sheetName val="Zone_4_ESum5"/>
      <sheetName val="Zone_4_CP5"/>
      <sheetName val="Zone_5_ESum5"/>
      <sheetName val="Zone_5_CP5"/>
      <sheetName val="Zone_6_ESum5"/>
      <sheetName val="Zone_6_CP5"/>
      <sheetName val="Zone_7_ESum5"/>
      <sheetName val="Zone_7_CP5"/>
      <sheetName val="Master_Data_Sheet5"/>
      <sheetName val="Project_Team5"/>
      <sheetName val="Schedule_of_Areas5"/>
      <sheetName val="Elemental_Summary5"/>
      <sheetName val="Cost_Plan5"/>
      <sheetName val="End_of_Cost_Plan5"/>
      <sheetName val="Cover_(1)5"/>
      <sheetName val="END_OF_REPORT5"/>
      <sheetName val="Conversion_Works_Summary5"/>
      <sheetName val="Electrical_Costs5"/>
      <sheetName val="Mechanical_Costs5"/>
      <sheetName val="Exec__Sum5"/>
      <sheetName val="Areas_calculation5"/>
      <sheetName val="Cash_Flow5"/>
      <sheetName val="New_item5"/>
      <sheetName val="Fit_outs5"/>
      <sheetName val="Market_Test5"/>
      <sheetName val="cashflow_macro_functions5"/>
      <sheetName val="Master_Data_Sheet_(2)5"/>
      <sheetName val="FLY_15"/>
      <sheetName val="FLY_25"/>
      <sheetName val="Main_Summary5"/>
      <sheetName val="Project_Summary5"/>
      <sheetName val="FLY_35"/>
      <sheetName val="FLY_45"/>
      <sheetName val="FLY_55"/>
      <sheetName val="Bedroom_Extension5"/>
      <sheetName val="PAR_(2)5"/>
      <sheetName val="FLY_65"/>
      <sheetName val="Contents_4"/>
      <sheetName val="Introduction_4"/>
      <sheetName val="Ex_Summary4"/>
      <sheetName val="NB_Sch__Areas4"/>
      <sheetName val="Bedroom_Sum4"/>
      <sheetName val="Std_Bedroom_ESum_(1)4"/>
      <sheetName val="Std_Bedroom_CP_(1)4"/>
      <sheetName val="Std_Bedroom_ESum_(2)4"/>
      <sheetName val="Std_Bedroom_CP_(2)4"/>
      <sheetName val="Suite_Bedroom_ESum_4"/>
      <sheetName val="Suite_Bedroom_CP4"/>
      <sheetName val="Corridor_ESum4"/>
      <sheetName val="Corridor_CP4"/>
      <sheetName val="Room_Summary4"/>
      <sheetName val="NB_Elemental_Summary4"/>
      <sheetName val="NB_Cost_Plan4"/>
      <sheetName val="R_Sch__Areas4"/>
      <sheetName val="R_Elemental_Summary4"/>
      <sheetName val="R_Cost_Plan4"/>
      <sheetName val="R_ex_Sch__Areas4"/>
      <sheetName val="Room_M&amp;E4"/>
      <sheetName val="Public_Summary4"/>
      <sheetName val="Public_BW4"/>
      <sheetName val="Public_FF&amp;E4"/>
      <sheetName val="Gnd_Inf_M&amp;E4"/>
      <sheetName val="B_Inf_M&amp;E4"/>
      <sheetName val="Gen_Inf_M&amp;E4"/>
      <sheetName val="Major_Capex4"/>
      <sheetName val="Front_Cover_4"/>
      <sheetName val="Exc_Summary4"/>
      <sheetName val="Sch__Areas4"/>
      <sheetName val="Committed_Forecast4"/>
      <sheetName val="Pre_Con4"/>
      <sheetName val="Fee_Proposal4"/>
      <sheetName val="Cost_Summary4"/>
      <sheetName val="Prov_Sums_4"/>
      <sheetName val="Broadoak_Elemental_Summary4"/>
      <sheetName val="Prov_Sums4"/>
      <sheetName val="BOak_Ex_over_to_Tender4"/>
      <sheetName val="Broadoak_Qualifications4"/>
      <sheetName val="Fee_Proposal_4"/>
      <sheetName val="Appointment_Docs_Position4"/>
      <sheetName val="Bedroom_Forecast4"/>
      <sheetName val="Variations_TBC4"/>
      <sheetName val="CPlan_D_Bedroom_Sum4"/>
      <sheetName val="Fees_24"/>
      <sheetName val="Rotunda_ESum4"/>
      <sheetName val="Zone_1_ESum4"/>
      <sheetName val="Zone_1_CP4"/>
      <sheetName val="Zone_2_ESum4"/>
      <sheetName val="Zone_2_CP4"/>
      <sheetName val="Zone_3_ESum4"/>
      <sheetName val="Zone_3_CP4"/>
      <sheetName val="Zone_4_ESum4"/>
      <sheetName val="Zone_4_CP4"/>
      <sheetName val="Zone_5_ESum4"/>
      <sheetName val="Zone_5_CP4"/>
      <sheetName val="Zone_6_ESum4"/>
      <sheetName val="Zone_6_CP4"/>
      <sheetName val="Zone_7_ESum4"/>
      <sheetName val="Zone_7_CP4"/>
      <sheetName val="Master_Data_Sheet7"/>
      <sheetName val="Project_Team7"/>
      <sheetName val="Schedule_of_Areas7"/>
      <sheetName val="Elemental_Summary7"/>
      <sheetName val="Cost_Plan7"/>
      <sheetName val="End_of_Cost_Plan7"/>
      <sheetName val="Cover_(1)7"/>
      <sheetName val="END_OF_REPORT7"/>
      <sheetName val="Conversion_Works_Summary7"/>
      <sheetName val="Electrical_Costs7"/>
      <sheetName val="Mechanical_Costs7"/>
      <sheetName val="Exec__Sum7"/>
      <sheetName val="Areas_calculation7"/>
      <sheetName val="Cash_Flow7"/>
      <sheetName val="New_item7"/>
      <sheetName val="Fit_outs7"/>
      <sheetName val="Market_Test7"/>
      <sheetName val="cashflow_macro_functions7"/>
      <sheetName val="Master_Data_Sheet_(2)7"/>
      <sheetName val="FLY_17"/>
      <sheetName val="FLY_27"/>
      <sheetName val="Main_Summary7"/>
      <sheetName val="Project_Summary7"/>
      <sheetName val="FLY_37"/>
      <sheetName val="FLY_47"/>
      <sheetName val="FLY_57"/>
      <sheetName val="Bedroom_Extension7"/>
      <sheetName val="PAR_(2)7"/>
      <sheetName val="FLY_67"/>
      <sheetName val="Contents_6"/>
      <sheetName val="Introduction_6"/>
      <sheetName val="Ex_Summary6"/>
      <sheetName val="NB_Sch__Areas6"/>
      <sheetName val="Bedroom_Sum6"/>
      <sheetName val="Std_Bedroom_ESum_(1)6"/>
      <sheetName val="Std_Bedroom_CP_(1)6"/>
      <sheetName val="Std_Bedroom_ESum_(2)6"/>
      <sheetName val="Std_Bedroom_CP_(2)6"/>
      <sheetName val="Suite_Bedroom_ESum_6"/>
      <sheetName val="Suite_Bedroom_CP6"/>
      <sheetName val="Corridor_ESum6"/>
      <sheetName val="Corridor_CP6"/>
      <sheetName val="Room_Summary6"/>
      <sheetName val="NB_Elemental_Summary6"/>
      <sheetName val="NB_Cost_Plan6"/>
      <sheetName val="R_Sch__Areas6"/>
      <sheetName val="R_Elemental_Summary6"/>
      <sheetName val="R_Cost_Plan6"/>
      <sheetName val="R_ex_Sch__Areas6"/>
      <sheetName val="Room_M&amp;E6"/>
      <sheetName val="Public_Summary6"/>
      <sheetName val="Public_BW6"/>
      <sheetName val="Public_FF&amp;E6"/>
      <sheetName val="Gnd_Inf_M&amp;E6"/>
      <sheetName val="B_Inf_M&amp;E6"/>
      <sheetName val="Gen_Inf_M&amp;E6"/>
      <sheetName val="Major_Capex6"/>
      <sheetName val="Front_Cover_6"/>
      <sheetName val="Exc_Summary6"/>
      <sheetName val="Sch__Areas6"/>
      <sheetName val="Committed_Forecast6"/>
      <sheetName val="Pre_Con6"/>
      <sheetName val="Fee_Proposal6"/>
      <sheetName val="Cost_Summary6"/>
      <sheetName val="Prov_Sums_6"/>
      <sheetName val="Broadoak_Elemental_Summary6"/>
      <sheetName val="Prov_Sums6"/>
      <sheetName val="BOak_Ex_over_to_Tender6"/>
      <sheetName val="Broadoak_Qualifications6"/>
      <sheetName val="Fee_Proposal_6"/>
      <sheetName val="Appointment_Docs_Position6"/>
      <sheetName val="Bedroom_Forecast6"/>
      <sheetName val="Variations_TBC6"/>
      <sheetName val="CPlan_D_Bedroom_Sum6"/>
      <sheetName val="Fees_26"/>
      <sheetName val="Rotunda_ESum6"/>
      <sheetName val="Zone_1_ESum6"/>
      <sheetName val="Zone_1_CP6"/>
      <sheetName val="Zone_2_ESum6"/>
      <sheetName val="Zone_2_CP6"/>
      <sheetName val="Zone_3_ESum6"/>
      <sheetName val="Zone_3_CP6"/>
      <sheetName val="Zone_4_ESum6"/>
      <sheetName val="Zone_4_CP6"/>
      <sheetName val="Zone_5_ESum6"/>
      <sheetName val="Zone_5_CP6"/>
      <sheetName val="Zone_6_ESum6"/>
      <sheetName val="Zone_6_CP6"/>
      <sheetName val="Zone_7_ESum6"/>
      <sheetName val="Zone_7_CP6"/>
      <sheetName val="Master_Data_Sheet8"/>
      <sheetName val="Project_Team8"/>
      <sheetName val="Schedule_of_Areas8"/>
      <sheetName val="Elemental_Summary8"/>
      <sheetName val="Cost_Plan8"/>
      <sheetName val="End_of_Cost_Plan8"/>
      <sheetName val="Cover_(1)8"/>
      <sheetName val="END_OF_REPORT8"/>
      <sheetName val="Conversion_Works_Summary8"/>
      <sheetName val="Electrical_Costs8"/>
      <sheetName val="Mechanical_Costs8"/>
      <sheetName val="Exec__Sum8"/>
      <sheetName val="Areas_calculation8"/>
      <sheetName val="Cash_Flow8"/>
      <sheetName val="New_item8"/>
      <sheetName val="Fit_outs8"/>
      <sheetName val="Market_Test8"/>
      <sheetName val="cashflow_macro_functions8"/>
      <sheetName val="Master_Data_Sheet_(2)8"/>
      <sheetName val="FLY_18"/>
      <sheetName val="FLY_28"/>
      <sheetName val="Main_Summary8"/>
      <sheetName val="Project_Summary8"/>
      <sheetName val="FLY_38"/>
      <sheetName val="FLY_48"/>
      <sheetName val="FLY_58"/>
      <sheetName val="Bedroom_Extension8"/>
      <sheetName val="PAR_(2)8"/>
      <sheetName val="FLY_68"/>
      <sheetName val="Contents_7"/>
      <sheetName val="Introduction_7"/>
      <sheetName val="Ex_Summary7"/>
      <sheetName val="NB_Sch__Areas7"/>
      <sheetName val="Bedroom_Sum7"/>
      <sheetName val="Std_Bedroom_ESum_(1)7"/>
      <sheetName val="Std_Bedroom_CP_(1)7"/>
      <sheetName val="Std_Bedroom_ESum_(2)7"/>
      <sheetName val="Std_Bedroom_CP_(2)7"/>
      <sheetName val="Suite_Bedroom_ESum_7"/>
      <sheetName val="Suite_Bedroom_CP7"/>
      <sheetName val="Corridor_ESum7"/>
      <sheetName val="Corridor_CP7"/>
      <sheetName val="Room_Summary7"/>
      <sheetName val="NB_Elemental_Summary7"/>
      <sheetName val="NB_Cost_Plan7"/>
      <sheetName val="R_Sch__Areas7"/>
      <sheetName val="R_Elemental_Summary7"/>
      <sheetName val="R_Cost_Plan7"/>
      <sheetName val="R_ex_Sch__Areas7"/>
      <sheetName val="Room_M&amp;E7"/>
      <sheetName val="Public_Summary7"/>
      <sheetName val="Public_BW7"/>
      <sheetName val="Public_FF&amp;E7"/>
      <sheetName val="Gnd_Inf_M&amp;E7"/>
      <sheetName val="B_Inf_M&amp;E7"/>
      <sheetName val="Gen_Inf_M&amp;E7"/>
      <sheetName val="Major_Capex7"/>
      <sheetName val="Front_Cover_7"/>
      <sheetName val="Exc_Summary7"/>
      <sheetName val="Sch__Areas7"/>
      <sheetName val="Committed_Forecast7"/>
      <sheetName val="Pre_Con7"/>
      <sheetName val="Fee_Proposal7"/>
      <sheetName val="Cost_Summary7"/>
      <sheetName val="Prov_Sums_7"/>
      <sheetName val="Broadoak_Elemental_Summary7"/>
      <sheetName val="Prov_Sums7"/>
      <sheetName val="BOak_Ex_over_to_Tender7"/>
      <sheetName val="Broadoak_Qualifications7"/>
      <sheetName val="Fee_Proposal_7"/>
      <sheetName val="Appointment_Docs_Position7"/>
      <sheetName val="Bedroom_Forecast7"/>
      <sheetName val="Variations_TBC7"/>
      <sheetName val="CPlan_D_Bedroom_Sum7"/>
      <sheetName val="Fees_27"/>
      <sheetName val="Rotunda_ESum7"/>
      <sheetName val="Zone_1_ESum7"/>
      <sheetName val="Zone_1_CP7"/>
      <sheetName val="Zone_2_ESum7"/>
      <sheetName val="Zone_2_CP7"/>
      <sheetName val="Zone_3_ESum7"/>
      <sheetName val="Zone_3_CP7"/>
      <sheetName val="Zone_4_ESum7"/>
      <sheetName val="Zone_4_CP7"/>
      <sheetName val="Zone_5_ESum7"/>
      <sheetName val="Zone_5_CP7"/>
      <sheetName val="Zone_6_ESum7"/>
      <sheetName val="Zone_6_CP7"/>
      <sheetName val="Zone_7_ESum7"/>
      <sheetName val="Zone_7_CP7"/>
      <sheetName val="Master_Data_Sheet10"/>
      <sheetName val="Project_Team10"/>
      <sheetName val="Schedule_of_Areas10"/>
      <sheetName val="Elemental_Summary10"/>
      <sheetName val="Cost_Plan10"/>
      <sheetName val="End_of_Cost_Plan10"/>
      <sheetName val="Cover_(1)10"/>
      <sheetName val="END_OF_REPORT10"/>
      <sheetName val="Conversion_Works_Summary10"/>
      <sheetName val="Electrical_Costs10"/>
      <sheetName val="Mechanical_Costs10"/>
      <sheetName val="Exec__Sum10"/>
      <sheetName val="Areas_calculation10"/>
      <sheetName val="Cash_Flow10"/>
      <sheetName val="New_item10"/>
      <sheetName val="Fit_outs10"/>
      <sheetName val="Market_Test10"/>
      <sheetName val="cashflow_macro_functions10"/>
      <sheetName val="Master_Data_Sheet_(2)10"/>
      <sheetName val="FLY_110"/>
      <sheetName val="FLY_210"/>
      <sheetName val="Main_Summary10"/>
      <sheetName val="Project_Summary10"/>
      <sheetName val="FLY_310"/>
      <sheetName val="FLY_410"/>
      <sheetName val="FLY_510"/>
      <sheetName val="Bedroom_Extension10"/>
      <sheetName val="PAR_(2)10"/>
      <sheetName val="FLY_610"/>
      <sheetName val="Contents_9"/>
      <sheetName val="Introduction_9"/>
      <sheetName val="Ex_Summary9"/>
      <sheetName val="NB_Sch__Areas9"/>
      <sheetName val="Bedroom_Sum9"/>
      <sheetName val="Std_Bedroom_ESum_(1)9"/>
      <sheetName val="Std_Bedroom_CP_(1)9"/>
      <sheetName val="Std_Bedroom_ESum_(2)9"/>
      <sheetName val="Std_Bedroom_CP_(2)9"/>
      <sheetName val="Suite_Bedroom_ESum_9"/>
      <sheetName val="Suite_Bedroom_CP9"/>
      <sheetName val="Corridor_ESum9"/>
      <sheetName val="Corridor_CP9"/>
      <sheetName val="Room_Summary9"/>
      <sheetName val="NB_Elemental_Summary9"/>
      <sheetName val="NB_Cost_Plan9"/>
      <sheetName val="R_Sch__Areas9"/>
      <sheetName val="R_Elemental_Summary9"/>
      <sheetName val="R_Cost_Plan9"/>
      <sheetName val="R_ex_Sch__Areas9"/>
      <sheetName val="Room_M&amp;E9"/>
      <sheetName val="Public_Summary9"/>
      <sheetName val="Public_BW9"/>
      <sheetName val="Public_FF&amp;E9"/>
      <sheetName val="Gnd_Inf_M&amp;E9"/>
      <sheetName val="B_Inf_M&amp;E9"/>
      <sheetName val="Gen_Inf_M&amp;E9"/>
      <sheetName val="Major_Capex9"/>
      <sheetName val="Front_Cover_9"/>
      <sheetName val="Exc_Summary9"/>
      <sheetName val="Sch__Areas9"/>
      <sheetName val="Committed_Forecast9"/>
      <sheetName val="Pre_Con9"/>
      <sheetName val="Fee_Proposal9"/>
      <sheetName val="Cost_Summary9"/>
      <sheetName val="Prov_Sums_9"/>
      <sheetName val="Broadoak_Elemental_Summary9"/>
      <sheetName val="Prov_Sums9"/>
      <sheetName val="BOak_Ex_over_to_Tender9"/>
      <sheetName val="Broadoak_Qualifications9"/>
      <sheetName val="Fee_Proposal_9"/>
      <sheetName val="Appointment_Docs_Position9"/>
      <sheetName val="Bedroom_Forecast9"/>
      <sheetName val="Variations_TBC9"/>
      <sheetName val="CPlan_D_Bedroom_Sum9"/>
      <sheetName val="Fees_29"/>
      <sheetName val="Rotunda_ESum9"/>
      <sheetName val="Zone_1_ESum9"/>
      <sheetName val="Zone_1_CP9"/>
      <sheetName val="Zone_2_ESum9"/>
      <sheetName val="Zone_2_CP9"/>
      <sheetName val="Zone_3_ESum9"/>
      <sheetName val="Zone_3_CP9"/>
      <sheetName val="Zone_4_ESum9"/>
      <sheetName val="Zone_4_CP9"/>
      <sheetName val="Zone_5_ESum9"/>
      <sheetName val="Zone_5_CP9"/>
      <sheetName val="Zone_6_ESum9"/>
      <sheetName val="Zone_6_CP9"/>
      <sheetName val="Zone_7_ESum9"/>
      <sheetName val="Zone_7_CP9"/>
      <sheetName val="Master_Data_Sheet9"/>
      <sheetName val="Project_Team9"/>
      <sheetName val="Schedule_of_Areas9"/>
      <sheetName val="Elemental_Summary9"/>
      <sheetName val="Cost_Plan9"/>
      <sheetName val="End_of_Cost_Plan9"/>
      <sheetName val="Cover_(1)9"/>
      <sheetName val="END_OF_REPORT9"/>
      <sheetName val="Conversion_Works_Summary9"/>
      <sheetName val="Electrical_Costs9"/>
      <sheetName val="Mechanical_Costs9"/>
      <sheetName val="Exec__Sum9"/>
      <sheetName val="Areas_calculation9"/>
      <sheetName val="Cash_Flow9"/>
      <sheetName val="New_item9"/>
      <sheetName val="Fit_outs9"/>
      <sheetName val="Market_Test9"/>
      <sheetName val="cashflow_macro_functions9"/>
      <sheetName val="Master_Data_Sheet_(2)9"/>
      <sheetName val="FLY_19"/>
      <sheetName val="FLY_29"/>
      <sheetName val="Main_Summary9"/>
      <sheetName val="Project_Summary9"/>
      <sheetName val="FLY_39"/>
      <sheetName val="FLY_49"/>
      <sheetName val="FLY_59"/>
      <sheetName val="Bedroom_Extension9"/>
      <sheetName val="PAR_(2)9"/>
      <sheetName val="FLY_69"/>
      <sheetName val="Contents_8"/>
      <sheetName val="Introduction_8"/>
      <sheetName val="Ex_Summary8"/>
      <sheetName val="NB_Sch__Areas8"/>
      <sheetName val="Bedroom_Sum8"/>
      <sheetName val="Std_Bedroom_ESum_(1)8"/>
      <sheetName val="Std_Bedroom_CP_(1)8"/>
      <sheetName val="Std_Bedroom_ESum_(2)8"/>
      <sheetName val="Std_Bedroom_CP_(2)8"/>
      <sheetName val="Suite_Bedroom_ESum_8"/>
      <sheetName val="Suite_Bedroom_CP8"/>
      <sheetName val="Corridor_ESum8"/>
      <sheetName val="Corridor_CP8"/>
      <sheetName val="Room_Summary8"/>
      <sheetName val="NB_Elemental_Summary8"/>
      <sheetName val="NB_Cost_Plan8"/>
      <sheetName val="R_Sch__Areas8"/>
      <sheetName val="R_Elemental_Summary8"/>
      <sheetName val="R_Cost_Plan8"/>
      <sheetName val="R_ex_Sch__Areas8"/>
      <sheetName val="Room_M&amp;E8"/>
      <sheetName val="Public_Summary8"/>
      <sheetName val="Public_BW8"/>
      <sheetName val="Public_FF&amp;E8"/>
      <sheetName val="Gnd_Inf_M&amp;E8"/>
      <sheetName val="B_Inf_M&amp;E8"/>
      <sheetName val="Gen_Inf_M&amp;E8"/>
      <sheetName val="Major_Capex8"/>
      <sheetName val="Front_Cover_8"/>
      <sheetName val="Exc_Summary8"/>
      <sheetName val="Sch__Areas8"/>
      <sheetName val="Committed_Forecast8"/>
      <sheetName val="Pre_Con8"/>
      <sheetName val="Fee_Proposal8"/>
      <sheetName val="Cost_Summary8"/>
      <sheetName val="Prov_Sums_8"/>
      <sheetName val="Broadoak_Elemental_Summary8"/>
      <sheetName val="Prov_Sums8"/>
      <sheetName val="BOak_Ex_over_to_Tender8"/>
      <sheetName val="Broadoak_Qualifications8"/>
      <sheetName val="Fee_Proposal_8"/>
      <sheetName val="Appointment_Docs_Position8"/>
      <sheetName val="Bedroom_Forecast8"/>
      <sheetName val="Variations_TBC8"/>
      <sheetName val="CPlan_D_Bedroom_Sum8"/>
      <sheetName val="Fees_28"/>
      <sheetName val="Rotunda_ESum8"/>
      <sheetName val="Zone_1_ESum8"/>
      <sheetName val="Zone_1_CP8"/>
      <sheetName val="Zone_2_ESum8"/>
      <sheetName val="Zone_2_CP8"/>
      <sheetName val="Zone_3_ESum8"/>
      <sheetName val="Zone_3_CP8"/>
      <sheetName val="Zone_4_ESum8"/>
      <sheetName val="Zone_4_CP8"/>
      <sheetName val="Zone_5_ESum8"/>
      <sheetName val="Zone_5_CP8"/>
      <sheetName val="Zone_6_ESum8"/>
      <sheetName val="Zone_6_CP8"/>
      <sheetName val="Zone_7_ESum8"/>
      <sheetName val="Zone_7_CP8"/>
      <sheetName val="Master_Data_Sheet11"/>
      <sheetName val="Project_Team11"/>
      <sheetName val="Schedule_of_Areas11"/>
      <sheetName val="Elemental_Summary11"/>
      <sheetName val="Cost_Plan11"/>
      <sheetName val="End_of_Cost_Plan11"/>
      <sheetName val="Cover_(1)11"/>
      <sheetName val="END_OF_REPORT11"/>
      <sheetName val="Conversion_Works_Summary11"/>
      <sheetName val="Electrical_Costs11"/>
      <sheetName val="Mechanical_Costs11"/>
      <sheetName val="Exec__Sum11"/>
      <sheetName val="Areas_calculation11"/>
      <sheetName val="Cash_Flow11"/>
      <sheetName val="New_item11"/>
      <sheetName val="Fit_outs11"/>
      <sheetName val="Market_Test11"/>
      <sheetName val="cashflow_macro_functions11"/>
      <sheetName val="Master_Data_Sheet_(2)11"/>
      <sheetName val="FLY_111"/>
      <sheetName val="FLY_211"/>
      <sheetName val="Main_Summary11"/>
      <sheetName val="Project_Summary11"/>
      <sheetName val="FLY_311"/>
      <sheetName val="FLY_411"/>
      <sheetName val="FLY_511"/>
      <sheetName val="Bedroom_Extension11"/>
      <sheetName val="PAR_(2)11"/>
      <sheetName val="FLY_611"/>
      <sheetName val="Contents_10"/>
      <sheetName val="Introduction_10"/>
      <sheetName val="Ex_Summary10"/>
      <sheetName val="NB_Sch__Areas10"/>
      <sheetName val="Bedroom_Sum10"/>
      <sheetName val="Std_Bedroom_ESum_(1)10"/>
      <sheetName val="Std_Bedroom_CP_(1)10"/>
      <sheetName val="Std_Bedroom_ESum_(2)10"/>
      <sheetName val="Std_Bedroom_CP_(2)10"/>
      <sheetName val="Suite_Bedroom_ESum_10"/>
      <sheetName val="Suite_Bedroom_CP10"/>
      <sheetName val="Corridor_ESum10"/>
      <sheetName val="Corridor_CP10"/>
      <sheetName val="Room_Summary10"/>
      <sheetName val="NB_Elemental_Summary10"/>
      <sheetName val="NB_Cost_Plan10"/>
      <sheetName val="R_Sch__Areas10"/>
      <sheetName val="R_Elemental_Summary10"/>
      <sheetName val="R_Cost_Plan10"/>
      <sheetName val="R_ex_Sch__Areas10"/>
      <sheetName val="Room_M&amp;E10"/>
      <sheetName val="Public_Summary10"/>
      <sheetName val="Public_BW10"/>
      <sheetName val="Public_FF&amp;E10"/>
      <sheetName val="Gnd_Inf_M&amp;E10"/>
      <sheetName val="B_Inf_M&amp;E10"/>
      <sheetName val="Gen_Inf_M&amp;E10"/>
      <sheetName val="Major_Capex10"/>
      <sheetName val="Front_Cover_10"/>
      <sheetName val="Exc_Summary10"/>
      <sheetName val="Sch__Areas10"/>
      <sheetName val="Committed_Forecast10"/>
      <sheetName val="Pre_Con10"/>
      <sheetName val="Fee_Proposal10"/>
      <sheetName val="Cost_Summary10"/>
      <sheetName val="Prov_Sums_10"/>
      <sheetName val="Broadoak_Elemental_Summary10"/>
      <sheetName val="Prov_Sums10"/>
      <sheetName val="BOak_Ex_over_to_Tender10"/>
      <sheetName val="Broadoak_Qualifications10"/>
      <sheetName val="Fee_Proposal_10"/>
      <sheetName val="Appointment_Docs_Position10"/>
      <sheetName val="Bedroom_Forecast10"/>
      <sheetName val="Variations_TBC10"/>
      <sheetName val="CPlan_D_Bedroom_Sum10"/>
      <sheetName val="Fees_210"/>
      <sheetName val="Rotunda_ESum10"/>
      <sheetName val="Zone_1_ESum10"/>
      <sheetName val="Zone_1_CP10"/>
      <sheetName val="Zone_2_ESum10"/>
      <sheetName val="Zone_2_CP10"/>
      <sheetName val="Zone_3_ESum10"/>
      <sheetName val="Zone_3_CP10"/>
      <sheetName val="Zone_4_ESum10"/>
      <sheetName val="Zone_4_CP10"/>
      <sheetName val="Zone_5_ESum10"/>
      <sheetName val="Zone_5_CP10"/>
      <sheetName val="Zone_6_ESum10"/>
      <sheetName val="Zone_6_CP10"/>
      <sheetName val="Zone_7_ESum10"/>
      <sheetName val="Zone_7_CP10"/>
      <sheetName val="Master_Data_Sheet12"/>
      <sheetName val="Project_Team12"/>
      <sheetName val="Schedule_of_Areas12"/>
      <sheetName val="Elemental_Summary12"/>
      <sheetName val="Cost_Plan12"/>
      <sheetName val="End_of_Cost_Plan12"/>
      <sheetName val="Cover_(1)12"/>
      <sheetName val="END_OF_REPORT12"/>
      <sheetName val="Conversion_Works_Summary12"/>
      <sheetName val="Electrical_Costs12"/>
      <sheetName val="Mechanical_Costs12"/>
      <sheetName val="Exec__Sum12"/>
      <sheetName val="Areas_calculation12"/>
      <sheetName val="Cash_Flow12"/>
      <sheetName val="New_item12"/>
      <sheetName val="Fit_outs12"/>
      <sheetName val="Market_Test12"/>
      <sheetName val="cashflow_macro_functions12"/>
      <sheetName val="Master_Data_Sheet_(2)12"/>
      <sheetName val="FLY_112"/>
      <sheetName val="FLY_212"/>
      <sheetName val="Main_Summary12"/>
      <sheetName val="Project_Summary12"/>
      <sheetName val="FLY_312"/>
      <sheetName val="FLY_412"/>
      <sheetName val="FLY_512"/>
      <sheetName val="Bedroom_Extension12"/>
      <sheetName val="PAR_(2)12"/>
      <sheetName val="FLY_612"/>
      <sheetName val="Contents_11"/>
      <sheetName val="Introduction_11"/>
      <sheetName val="Ex_Summary11"/>
      <sheetName val="NB_Sch__Areas11"/>
      <sheetName val="Bedroom_Sum11"/>
      <sheetName val="Std_Bedroom_ESum_(1)11"/>
      <sheetName val="Std_Bedroom_CP_(1)11"/>
      <sheetName val="Std_Bedroom_ESum_(2)11"/>
      <sheetName val="Std_Bedroom_CP_(2)11"/>
      <sheetName val="Suite_Bedroom_ESum_11"/>
      <sheetName val="Suite_Bedroom_CP11"/>
      <sheetName val="Corridor_ESum11"/>
      <sheetName val="Corridor_CP11"/>
      <sheetName val="Room_Summary11"/>
      <sheetName val="NB_Elemental_Summary11"/>
      <sheetName val="NB_Cost_Plan11"/>
      <sheetName val="R_Sch__Areas11"/>
      <sheetName val="R_Elemental_Summary11"/>
      <sheetName val="R_Cost_Plan11"/>
      <sheetName val="R_ex_Sch__Areas11"/>
      <sheetName val="Room_M&amp;E11"/>
      <sheetName val="Public_Summary11"/>
      <sheetName val="Public_BW11"/>
      <sheetName val="Public_FF&amp;E11"/>
      <sheetName val="Gnd_Inf_M&amp;E11"/>
      <sheetName val="B_Inf_M&amp;E11"/>
      <sheetName val="Gen_Inf_M&amp;E11"/>
      <sheetName val="Major_Capex11"/>
      <sheetName val="Front_Cover_11"/>
      <sheetName val="Exc_Summary11"/>
      <sheetName val="Sch__Areas11"/>
      <sheetName val="Committed_Forecast11"/>
      <sheetName val="Pre_Con11"/>
      <sheetName val="Fee_Proposal11"/>
      <sheetName val="Cost_Summary11"/>
      <sheetName val="Prov_Sums_11"/>
      <sheetName val="Broadoak_Elemental_Summary11"/>
      <sheetName val="Prov_Sums11"/>
      <sheetName val="BOak_Ex_over_to_Tender11"/>
      <sheetName val="Broadoak_Qualifications11"/>
      <sheetName val="Fee_Proposal_11"/>
      <sheetName val="Appointment_Docs_Position11"/>
      <sheetName val="Bedroom_Forecast11"/>
      <sheetName val="Variations_TBC11"/>
      <sheetName val="CPlan_D_Bedroom_Sum11"/>
      <sheetName val="Fees_211"/>
      <sheetName val="Rotunda_ESum11"/>
      <sheetName val="Zone_1_ESum11"/>
      <sheetName val="Zone_1_CP11"/>
      <sheetName val="Zone_2_ESum11"/>
      <sheetName val="Zone_2_CP11"/>
      <sheetName val="Zone_3_ESum11"/>
      <sheetName val="Zone_3_CP11"/>
      <sheetName val="Zone_4_ESum11"/>
      <sheetName val="Zone_4_CP11"/>
      <sheetName val="Zone_5_ESum11"/>
      <sheetName val="Zone_5_CP11"/>
      <sheetName val="Zone_6_ESum11"/>
      <sheetName val="Zone_6_CP11"/>
      <sheetName val="Zone_7_ESum11"/>
      <sheetName val="Zone_7_CP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ntents"/>
      <sheetName val="Introduction"/>
      <sheetName val="Phase 1 Exec. Sum"/>
      <sheetName val="Sch. Areas"/>
      <sheetName val="Summary"/>
      <sheetName val="Phase 1 Summary"/>
      <sheetName val="Phase 1 Cost Plan"/>
      <sheetName val="Ext. Works Summary"/>
      <sheetName val="Ext. Works Cost Plan"/>
      <sheetName val="Changes"/>
      <sheetName val="Ext. Works Cost Plan (2)"/>
      <sheetName val="Ext. Works Cost Plan (3)"/>
      <sheetName val="Ext. Works Cost Plan (4)"/>
      <sheetName val="Ext. Works Cost Plan (5)"/>
      <sheetName val="Ext. Works Cost Plan (6)"/>
      <sheetName val="Exclusions"/>
      <sheetName val="Fee Schedule"/>
      <sheetName val="Master Data Sheet"/>
      <sheetName val="Phase 2 Summary"/>
      <sheetName val="Phase 2 Cost Plan"/>
      <sheetName val="Module1"/>
      <sheetName val="ASFuncs"/>
      <sheetName val="cashflow macro function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vmlDrawing" Target="../drawings/vmlDrawing2.v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drawing" Target="../drawings/drawing4.xml"/><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5.bin"/><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3.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0D74F-D9B1-4DFD-961B-B177BD3AD5C7}">
  <sheetPr>
    <pageSetUpPr fitToPage="1"/>
  </sheetPr>
  <dimension ref="D68"/>
  <sheetViews>
    <sheetView view="pageBreakPreview" topLeftCell="A4" zoomScale="109" zoomScaleNormal="100" zoomScaleSheetLayoutView="109" workbookViewId="0">
      <selection activeCell="G34" sqref="G34"/>
    </sheetView>
  </sheetViews>
  <sheetFormatPr defaultColWidth="9.140625" defaultRowHeight="13.15"/>
  <cols>
    <col min="1" max="10" width="9.140625" style="1"/>
    <col min="11" max="11" width="7" style="1" customWidth="1"/>
    <col min="12" max="12" width="10.42578125" style="1" customWidth="1"/>
    <col min="13" max="16384" width="9.140625" style="1"/>
  </cols>
  <sheetData>
    <row r="68" spans="4:4" ht="18">
      <c r="D68" s="111"/>
    </row>
  </sheetData>
  <pageMargins left="0.25" right="0.25" top="0.75" bottom="0.75" header="0.3" footer="0.3"/>
  <pageSetup paperSize="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85D77-EC14-4A3A-A5E0-949334DC6B85}">
  <sheetPr>
    <tabColor rgb="FF92D050"/>
  </sheetPr>
  <dimension ref="A2:J32"/>
  <sheetViews>
    <sheetView showGridLines="0" view="pageBreakPreview" topLeftCell="A4" zoomScaleNormal="100" zoomScaleSheetLayoutView="100" workbookViewId="0">
      <selection activeCell="E2" sqref="E2"/>
    </sheetView>
  </sheetViews>
  <sheetFormatPr defaultColWidth="9.140625" defaultRowHeight="13.15"/>
  <cols>
    <col min="1" max="1" width="1" style="2" customWidth="1"/>
    <col min="2" max="2" width="32" style="2" bestFit="1" customWidth="1"/>
    <col min="3" max="3" width="12.42578125" style="2" customWidth="1"/>
    <col min="4" max="4" width="8.85546875" style="2" customWidth="1"/>
    <col min="5" max="5" width="16" style="2" bestFit="1" customWidth="1"/>
    <col min="6" max="7" width="15.140625" style="2" bestFit="1" customWidth="1"/>
    <col min="8" max="8" width="1.42578125" style="2" customWidth="1"/>
    <col min="9" max="9" width="1" style="2" customWidth="1"/>
    <col min="10" max="10" width="2.140625" style="2" customWidth="1"/>
    <col min="11" max="16384" width="9.140625" style="2"/>
  </cols>
  <sheetData>
    <row r="2" spans="1:7">
      <c r="B2" s="48" t="s">
        <v>0</v>
      </c>
      <c r="C2" s="3"/>
    </row>
    <row r="3" spans="1:7">
      <c r="B3" s="48"/>
      <c r="C3" s="3"/>
    </row>
    <row r="4" spans="1:7">
      <c r="B4" s="49" t="s">
        <v>1</v>
      </c>
      <c r="C4" s="4"/>
    </row>
    <row r="5" spans="1:7">
      <c r="B5" s="50"/>
      <c r="D5" s="5"/>
    </row>
    <row r="10" spans="1:7" ht="21.6">
      <c r="B10" s="6"/>
    </row>
    <row r="12" spans="1:7" s="7" customFormat="1" ht="21" customHeight="1">
      <c r="B12" s="723" t="s">
        <v>2</v>
      </c>
      <c r="C12" s="724"/>
      <c r="D12" s="724"/>
      <c r="E12" s="724"/>
      <c r="F12" s="724"/>
      <c r="G12" s="725"/>
    </row>
    <row r="13" spans="1:7" s="8" customFormat="1" ht="21" customHeight="1">
      <c r="B13" s="9" t="s">
        <v>3</v>
      </c>
      <c r="C13" s="9" t="s">
        <v>4</v>
      </c>
      <c r="D13" s="10" t="s">
        <v>5</v>
      </c>
      <c r="E13" s="9" t="s">
        <v>6</v>
      </c>
      <c r="F13" s="9" t="s">
        <v>7</v>
      </c>
      <c r="G13" s="9" t="s">
        <v>8</v>
      </c>
    </row>
    <row r="14" spans="1:7" s="11" customFormat="1" ht="21" customHeight="1">
      <c r="B14" s="12"/>
      <c r="C14" s="13"/>
      <c r="D14" s="14"/>
      <c r="E14" s="15"/>
      <c r="F14" s="15"/>
      <c r="G14" s="15"/>
    </row>
    <row r="15" spans="1:7" s="17" customFormat="1" ht="21" customHeight="1">
      <c r="A15" s="16"/>
      <c r="B15" s="12"/>
      <c r="C15" s="13"/>
      <c r="D15" s="14"/>
      <c r="E15" s="15"/>
      <c r="F15" s="15"/>
      <c r="G15" s="15"/>
    </row>
    <row r="16" spans="1:7" s="17" customFormat="1" ht="21" customHeight="1">
      <c r="B16" s="12"/>
      <c r="C16" s="13"/>
      <c r="D16" s="14"/>
      <c r="E16" s="15"/>
      <c r="F16" s="15"/>
      <c r="G16" s="15"/>
    </row>
    <row r="17" spans="2:10" s="17" customFormat="1" ht="21" customHeight="1">
      <c r="B17" s="12"/>
      <c r="C17" s="13"/>
      <c r="D17" s="14"/>
      <c r="E17" s="15"/>
      <c r="F17" s="15"/>
      <c r="G17" s="15"/>
    </row>
    <row r="18" spans="2:10" s="17" customFormat="1" ht="21" customHeight="1">
      <c r="B18" s="12"/>
      <c r="C18" s="13"/>
      <c r="D18" s="14"/>
      <c r="E18" s="15"/>
      <c r="F18" s="15"/>
      <c r="G18" s="18"/>
    </row>
    <row r="19" spans="2:10" s="17" customFormat="1" ht="21" customHeight="1">
      <c r="B19" s="18"/>
      <c r="C19" s="19"/>
      <c r="D19" s="18"/>
      <c r="E19" s="18"/>
      <c r="F19" s="18"/>
      <c r="G19" s="18"/>
    </row>
    <row r="20" spans="2:10" s="17" customFormat="1" ht="21" customHeight="1">
      <c r="B20" s="20"/>
      <c r="C20" s="21"/>
      <c r="D20" s="20"/>
      <c r="E20" s="20"/>
      <c r="F20" s="20"/>
      <c r="G20" s="20"/>
    </row>
    <row r="21" spans="2:10" s="17" customFormat="1" ht="15.6">
      <c r="C21" s="22"/>
    </row>
    <row r="22" spans="2:10" s="17" customFormat="1" ht="15.6">
      <c r="C22" s="22"/>
    </row>
    <row r="23" spans="2:10" s="7" customFormat="1" ht="13.9">
      <c r="B23" s="23" t="s">
        <v>9</v>
      </c>
    </row>
    <row r="24" spans="2:10" s="7" customFormat="1" ht="9" customHeight="1">
      <c r="B24" s="24"/>
    </row>
    <row r="25" spans="2:10" s="7" customFormat="1" ht="43.5" customHeight="1">
      <c r="B25" s="726" t="s">
        <v>10</v>
      </c>
      <c r="C25" s="726"/>
      <c r="D25" s="726"/>
      <c r="E25" s="726"/>
      <c r="F25" s="726"/>
      <c r="G25" s="726"/>
      <c r="H25" s="726"/>
      <c r="I25" s="726"/>
      <c r="J25" s="25"/>
    </row>
    <row r="26" spans="2:10" s="7" customFormat="1" ht="32.25" customHeight="1">
      <c r="B26" s="726" t="s">
        <v>11</v>
      </c>
      <c r="C26" s="726"/>
      <c r="D26" s="726"/>
      <c r="E26" s="726"/>
      <c r="F26" s="726"/>
      <c r="G26" s="726"/>
      <c r="H26" s="726"/>
      <c r="I26" s="726"/>
      <c r="J26" s="25"/>
    </row>
    <row r="27" spans="2:10" s="7" customFormat="1" ht="13.9">
      <c r="B27" s="26"/>
      <c r="C27" s="26"/>
      <c r="D27" s="26"/>
      <c r="E27" s="26"/>
      <c r="F27" s="26"/>
      <c r="G27" s="26"/>
      <c r="H27" s="27"/>
      <c r="I27" s="26"/>
      <c r="J27" s="26"/>
    </row>
    <row r="28" spans="2:10" s="7" customFormat="1" ht="13.9">
      <c r="B28" s="28" t="s">
        <v>12</v>
      </c>
      <c r="C28" s="26"/>
      <c r="D28" s="26"/>
      <c r="E28" s="26"/>
      <c r="F28" s="26"/>
      <c r="G28" s="26"/>
      <c r="H28" s="26"/>
      <c r="I28" s="26"/>
      <c r="J28" s="26"/>
    </row>
    <row r="29" spans="2:10" s="7" customFormat="1" ht="13.9">
      <c r="B29" s="29"/>
      <c r="C29" s="26"/>
      <c r="D29" s="26"/>
      <c r="E29" s="26"/>
      <c r="F29" s="26"/>
      <c r="G29" s="26"/>
      <c r="H29" s="26"/>
      <c r="I29" s="26"/>
      <c r="J29" s="26"/>
    </row>
    <row r="30" spans="2:10" s="7" customFormat="1" ht="31.5" customHeight="1">
      <c r="B30" s="726" t="s">
        <v>13</v>
      </c>
      <c r="C30" s="726"/>
      <c r="D30" s="726"/>
      <c r="E30" s="726"/>
      <c r="F30" s="726"/>
      <c r="G30" s="726"/>
      <c r="H30" s="726"/>
      <c r="I30" s="726"/>
      <c r="J30" s="25"/>
    </row>
    <row r="31" spans="2:10" s="7" customFormat="1" ht="13.9">
      <c r="B31" s="26"/>
      <c r="C31" s="26"/>
      <c r="D31" s="26"/>
      <c r="E31" s="26"/>
      <c r="F31" s="26"/>
      <c r="G31" s="26"/>
      <c r="H31" s="26"/>
      <c r="I31" s="26"/>
      <c r="J31" s="26"/>
    </row>
    <row r="32" spans="2:10" s="17" customFormat="1" ht="15">
      <c r="B32" s="30"/>
      <c r="C32" s="30"/>
      <c r="D32" s="30"/>
      <c r="E32" s="30"/>
      <c r="F32" s="30"/>
      <c r="G32" s="31"/>
      <c r="H32" s="30"/>
      <c r="I32" s="30"/>
      <c r="J32" s="30"/>
    </row>
  </sheetData>
  <sheetProtection selectLockedCells="1" selectUnlockedCells="1"/>
  <mergeCells count="4">
    <mergeCell ref="B12:G12"/>
    <mergeCell ref="B25:I25"/>
    <mergeCell ref="B26:I26"/>
    <mergeCell ref="B30:I30"/>
  </mergeCells>
  <conditionalFormatting sqref="B2:B4">
    <cfRule type="cellIs" dxfId="1" priority="1" stopIfTrue="1" operator="equal">
      <formula>#N/A</formula>
    </cfRule>
  </conditionalFormatting>
  <printOptions horizontalCentered="1"/>
  <pageMargins left="0.74803149606299213" right="0" top="0.19685039370078741" bottom="0.98425196850393704" header="0.51181102362204722" footer="0.51181102362204722"/>
  <pageSetup paperSize="9" scale="84" fitToWidth="0" fitToHeight="0" orientation="portrait" useFirstPageNumber="1" r:id="rId1"/>
  <headerFooter alignWithMargins="0">
    <oddFooter>&amp;L&amp;"Arial,Regular"&amp;10 &amp;K00B0F01                    &amp;K000000&amp;F&amp;R&amp;12&amp;K00B0F0&amp;G</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4ED44-61E4-4520-993F-6A4ECED07505}">
  <dimension ref="A1:L45"/>
  <sheetViews>
    <sheetView view="pageBreakPreview" zoomScale="115" zoomScaleNormal="100" zoomScaleSheetLayoutView="115" workbookViewId="0">
      <selection activeCell="C21" sqref="C21:K21"/>
    </sheetView>
  </sheetViews>
  <sheetFormatPr defaultColWidth="9.140625" defaultRowHeight="13.15"/>
  <cols>
    <col min="1" max="1" width="2.42578125" style="1" customWidth="1"/>
    <col min="2" max="2" width="3.85546875" style="1" customWidth="1"/>
    <col min="3" max="10" width="9.140625" style="1"/>
    <col min="11" max="11" width="16" style="1" customWidth="1"/>
    <col min="12" max="12" width="0.140625" style="1" customWidth="1"/>
    <col min="13" max="16384" width="9.140625" style="1"/>
  </cols>
  <sheetData>
    <row r="1" spans="1:11" ht="14.45">
      <c r="A1" s="32"/>
      <c r="B1" s="732" t="s">
        <v>14</v>
      </c>
      <c r="C1" s="732"/>
      <c r="D1" s="732"/>
      <c r="E1" s="732"/>
      <c r="F1" s="732"/>
      <c r="G1" s="732"/>
      <c r="H1" s="732"/>
      <c r="I1" s="732"/>
      <c r="J1" s="732"/>
      <c r="K1" s="33"/>
    </row>
    <row r="2" spans="1:11" ht="11.25" customHeight="1">
      <c r="A2" s="32"/>
      <c r="B2" s="34"/>
      <c r="C2" s="33"/>
      <c r="D2" s="33"/>
      <c r="E2" s="33"/>
      <c r="F2" s="33"/>
      <c r="G2" s="33"/>
      <c r="H2" s="33"/>
      <c r="I2" s="33"/>
      <c r="J2" s="33"/>
      <c r="K2" s="33"/>
    </row>
    <row r="3" spans="1:11" ht="14.45">
      <c r="A3" s="32"/>
      <c r="B3" s="45">
        <v>1</v>
      </c>
      <c r="C3" s="730" t="s">
        <v>15</v>
      </c>
      <c r="D3" s="730"/>
      <c r="E3" s="730"/>
      <c r="F3" s="730"/>
      <c r="G3" s="730"/>
      <c r="H3" s="730"/>
      <c r="I3" s="730"/>
      <c r="J3" s="730"/>
      <c r="K3" s="730"/>
    </row>
    <row r="4" spans="1:11" ht="14.45">
      <c r="A4" s="32"/>
      <c r="B4" s="45"/>
      <c r="C4" s="45"/>
      <c r="D4" s="45"/>
      <c r="E4" s="45"/>
      <c r="F4" s="45"/>
      <c r="G4" s="45"/>
      <c r="H4" s="45"/>
      <c r="I4" s="45"/>
      <c r="J4" s="45"/>
      <c r="K4" s="45"/>
    </row>
    <row r="5" spans="1:11" ht="14.45">
      <c r="A5" s="32"/>
      <c r="B5" s="45"/>
      <c r="C5" s="734" t="s">
        <v>16</v>
      </c>
      <c r="D5" s="734"/>
      <c r="E5" s="734"/>
      <c r="F5" s="734"/>
      <c r="G5" s="734"/>
      <c r="H5" s="734"/>
      <c r="I5" s="734"/>
      <c r="J5" s="734"/>
      <c r="K5" s="734"/>
    </row>
    <row r="6" spans="1:11" ht="14.45">
      <c r="A6" s="32"/>
      <c r="B6" s="36"/>
      <c r="C6" s="33"/>
      <c r="D6" s="33"/>
      <c r="E6" s="33"/>
      <c r="F6" s="33"/>
      <c r="G6" s="33"/>
      <c r="H6" s="33"/>
      <c r="I6" s="33"/>
      <c r="J6" s="33"/>
      <c r="K6" s="33"/>
    </row>
    <row r="7" spans="1:11" ht="14.45">
      <c r="A7" s="32"/>
      <c r="B7" s="36"/>
      <c r="C7" s="730"/>
      <c r="D7" s="730"/>
      <c r="E7" s="730"/>
      <c r="F7" s="730"/>
      <c r="G7" s="730"/>
      <c r="H7" s="730"/>
      <c r="I7" s="730"/>
      <c r="J7" s="730"/>
      <c r="K7" s="730"/>
    </row>
    <row r="8" spans="1:11" ht="14.45">
      <c r="A8" s="32"/>
      <c r="B8" s="36"/>
      <c r="C8" s="728"/>
      <c r="D8" s="728"/>
      <c r="E8" s="728"/>
      <c r="F8" s="728"/>
      <c r="G8" s="728"/>
      <c r="H8" s="728"/>
      <c r="I8" s="728"/>
      <c r="J8" s="728"/>
      <c r="K8" s="728"/>
    </row>
    <row r="9" spans="1:11" ht="14.45">
      <c r="A9" s="32"/>
      <c r="B9" s="36"/>
      <c r="C9" s="33"/>
      <c r="D9" s="33"/>
      <c r="E9" s="33"/>
      <c r="F9" s="33"/>
      <c r="G9" s="33"/>
      <c r="H9" s="33"/>
      <c r="I9" s="33"/>
      <c r="J9" s="33"/>
      <c r="K9" s="33"/>
    </row>
    <row r="10" spans="1:11" ht="12.75" customHeight="1">
      <c r="A10" s="46"/>
      <c r="B10" s="45">
        <v>2</v>
      </c>
      <c r="C10" s="733" t="s">
        <v>17</v>
      </c>
      <c r="D10" s="733"/>
      <c r="E10" s="733"/>
      <c r="F10" s="733"/>
      <c r="G10" s="733"/>
      <c r="H10" s="733"/>
      <c r="I10" s="733"/>
      <c r="J10" s="733"/>
      <c r="K10" s="733"/>
    </row>
    <row r="11" spans="1:11" ht="14.45">
      <c r="A11" s="46"/>
      <c r="B11" s="45"/>
      <c r="C11" s="47"/>
      <c r="D11" s="47"/>
      <c r="E11" s="47"/>
      <c r="F11" s="47"/>
      <c r="G11" s="47"/>
      <c r="H11" s="47"/>
      <c r="I11" s="47"/>
      <c r="J11" s="47"/>
      <c r="K11" s="47"/>
    </row>
    <row r="12" spans="1:11" ht="12.75" customHeight="1">
      <c r="B12" s="36"/>
      <c r="C12" s="728" t="s">
        <v>18</v>
      </c>
      <c r="D12" s="728"/>
      <c r="E12" s="728"/>
      <c r="F12" s="728"/>
      <c r="G12" s="728"/>
      <c r="H12" s="728"/>
      <c r="I12" s="728"/>
      <c r="J12" s="728"/>
      <c r="K12" s="728"/>
    </row>
    <row r="13" spans="1:11" ht="14.45">
      <c r="B13" s="36"/>
      <c r="C13" s="727" t="s">
        <v>19</v>
      </c>
      <c r="D13" s="727"/>
      <c r="E13" s="727"/>
      <c r="F13" s="727"/>
      <c r="G13" s="727"/>
      <c r="H13" s="727"/>
      <c r="I13" s="727"/>
      <c r="J13" s="727"/>
      <c r="K13" s="727"/>
    </row>
    <row r="14" spans="1:11" ht="14.45">
      <c r="B14" s="36"/>
      <c r="C14" s="728" t="s">
        <v>20</v>
      </c>
      <c r="D14" s="728"/>
      <c r="E14" s="728"/>
      <c r="F14" s="728"/>
      <c r="G14" s="728"/>
      <c r="H14" s="728"/>
      <c r="I14" s="728"/>
      <c r="J14" s="728"/>
      <c r="K14" s="728"/>
    </row>
    <row r="15" spans="1:11" ht="14.45">
      <c r="C15" s="728" t="s">
        <v>21</v>
      </c>
      <c r="D15" s="728"/>
      <c r="E15" s="728"/>
      <c r="F15" s="728"/>
      <c r="G15" s="728"/>
      <c r="H15" s="728"/>
      <c r="I15" s="728"/>
      <c r="J15" s="728"/>
      <c r="K15" s="728"/>
    </row>
    <row r="16" spans="1:11" ht="29.45" customHeight="1">
      <c r="C16" s="728" t="s">
        <v>22</v>
      </c>
      <c r="D16" s="728"/>
      <c r="E16" s="728"/>
      <c r="F16" s="728"/>
      <c r="G16" s="728"/>
      <c r="H16" s="728"/>
      <c r="I16" s="728"/>
      <c r="J16" s="728"/>
      <c r="K16" s="728"/>
    </row>
    <row r="17" spans="2:12" ht="14.45">
      <c r="C17" s="728" t="s">
        <v>23</v>
      </c>
      <c r="D17" s="728"/>
      <c r="E17" s="728"/>
      <c r="F17" s="728"/>
      <c r="G17" s="728"/>
      <c r="H17" s="728"/>
      <c r="I17" s="728"/>
      <c r="J17" s="728"/>
      <c r="K17" s="728"/>
    </row>
    <row r="18" spans="2:12" ht="14.25" customHeight="1">
      <c r="C18" s="728" t="s">
        <v>24</v>
      </c>
      <c r="D18" s="728"/>
      <c r="E18" s="728"/>
      <c r="F18" s="728"/>
      <c r="G18" s="728"/>
      <c r="H18" s="728"/>
      <c r="I18" s="728"/>
      <c r="J18" s="728"/>
      <c r="K18" s="728"/>
    </row>
    <row r="19" spans="2:12" ht="14.25" customHeight="1">
      <c r="C19" s="728" t="s">
        <v>25</v>
      </c>
      <c r="D19" s="728"/>
      <c r="E19" s="728"/>
      <c r="F19" s="728"/>
      <c r="G19" s="728"/>
      <c r="H19" s="728"/>
      <c r="I19" s="728"/>
      <c r="J19" s="728"/>
      <c r="K19" s="728"/>
    </row>
    <row r="20" spans="2:12" ht="14.45">
      <c r="C20" s="36"/>
      <c r="D20" s="36"/>
      <c r="E20" s="36"/>
      <c r="F20" s="36"/>
      <c r="G20" s="36"/>
      <c r="H20" s="36"/>
      <c r="I20" s="36"/>
      <c r="J20" s="36"/>
      <c r="K20" s="36"/>
    </row>
    <row r="21" spans="2:12" ht="14.45">
      <c r="B21" s="45">
        <v>3</v>
      </c>
      <c r="C21" s="730" t="s">
        <v>26</v>
      </c>
      <c r="D21" s="730"/>
      <c r="E21" s="730"/>
      <c r="F21" s="730"/>
      <c r="G21" s="730"/>
      <c r="H21" s="730"/>
      <c r="I21" s="730"/>
      <c r="J21" s="730"/>
      <c r="K21" s="730"/>
    </row>
    <row r="22" spans="2:12" ht="14.45">
      <c r="B22" s="45"/>
      <c r="C22" s="45"/>
      <c r="D22" s="45"/>
      <c r="E22" s="45"/>
      <c r="F22" s="45"/>
      <c r="G22" s="45"/>
      <c r="H22" s="45"/>
      <c r="I22" s="45"/>
      <c r="J22" s="45"/>
      <c r="K22" s="45"/>
    </row>
    <row r="23" spans="2:12" ht="14.45">
      <c r="B23" s="36"/>
      <c r="C23" s="729" t="s">
        <v>27</v>
      </c>
      <c r="D23" s="729"/>
      <c r="E23" s="729"/>
      <c r="F23" s="729"/>
      <c r="G23" s="729"/>
      <c r="H23" s="729"/>
      <c r="I23" s="729"/>
      <c r="J23" s="729"/>
      <c r="K23" s="729"/>
    </row>
    <row r="24" spans="2:12" ht="14.45">
      <c r="C24" s="729" t="s">
        <v>28</v>
      </c>
      <c r="D24" s="729"/>
      <c r="E24" s="729"/>
      <c r="F24" s="729"/>
      <c r="G24" s="729"/>
      <c r="H24" s="729"/>
      <c r="I24" s="729"/>
      <c r="J24" s="729"/>
      <c r="K24" s="729"/>
      <c r="L24" s="729"/>
    </row>
    <row r="25" spans="2:12" ht="14.45">
      <c r="C25" s="729" t="s">
        <v>29</v>
      </c>
      <c r="D25" s="729"/>
      <c r="E25" s="729"/>
      <c r="F25" s="729"/>
      <c r="G25" s="729"/>
      <c r="H25" s="729"/>
      <c r="I25" s="729"/>
      <c r="J25" s="729"/>
      <c r="K25" s="729"/>
      <c r="L25" s="729"/>
    </row>
    <row r="26" spans="2:12" ht="14.45">
      <c r="C26" s="729" t="s">
        <v>30</v>
      </c>
      <c r="D26" s="729"/>
      <c r="E26" s="729"/>
      <c r="F26" s="729"/>
      <c r="G26" s="729"/>
      <c r="H26" s="729"/>
      <c r="I26" s="729"/>
      <c r="J26" s="729"/>
      <c r="K26" s="729"/>
      <c r="L26" s="729"/>
    </row>
    <row r="27" spans="2:12" ht="14.45">
      <c r="C27" s="746" t="s">
        <v>31</v>
      </c>
      <c r="D27" s="746"/>
      <c r="E27" s="746"/>
      <c r="F27" s="746"/>
      <c r="G27" s="746"/>
      <c r="H27" s="746"/>
      <c r="I27" s="746"/>
      <c r="J27" s="746"/>
      <c r="K27" s="746"/>
      <c r="L27" s="102"/>
    </row>
    <row r="28" spans="2:12" ht="14.45">
      <c r="C28" s="746" t="s">
        <v>32</v>
      </c>
      <c r="D28" s="746"/>
      <c r="E28" s="746"/>
      <c r="F28" s="746"/>
      <c r="G28" s="746"/>
      <c r="H28" s="746"/>
      <c r="I28" s="746"/>
      <c r="J28" s="746"/>
      <c r="K28" s="746"/>
      <c r="L28" s="102"/>
    </row>
    <row r="29" spans="2:12" ht="14.45">
      <c r="C29" s="746" t="s">
        <v>33</v>
      </c>
      <c r="D29" s="746"/>
      <c r="E29" s="746"/>
      <c r="F29" s="746"/>
      <c r="G29" s="746"/>
      <c r="H29" s="746"/>
      <c r="I29" s="746"/>
      <c r="J29" s="746"/>
      <c r="K29" s="746"/>
      <c r="L29" s="102"/>
    </row>
    <row r="30" spans="2:12" ht="14.45">
      <c r="C30" s="35"/>
      <c r="D30" s="35"/>
      <c r="E30" s="35"/>
      <c r="F30" s="35"/>
      <c r="G30" s="35"/>
      <c r="H30" s="35"/>
      <c r="I30" s="35"/>
      <c r="J30" s="35"/>
      <c r="K30" s="35"/>
      <c r="L30" s="35"/>
    </row>
    <row r="31" spans="2:12" ht="14.45">
      <c r="C31" s="731"/>
      <c r="D31" s="731"/>
      <c r="E31" s="731"/>
      <c r="F31" s="731"/>
      <c r="G31" s="731"/>
      <c r="H31" s="731"/>
      <c r="I31" s="731"/>
      <c r="J31" s="731"/>
      <c r="K31" s="731"/>
      <c r="L31" s="731"/>
    </row>
    <row r="32" spans="2:12" ht="14.45">
      <c r="C32" s="731"/>
      <c r="D32" s="731"/>
      <c r="E32" s="731"/>
      <c r="F32" s="731"/>
      <c r="G32" s="731"/>
      <c r="H32" s="731"/>
      <c r="I32" s="731"/>
      <c r="J32" s="731"/>
      <c r="K32" s="731"/>
      <c r="L32" s="731"/>
    </row>
    <row r="33" spans="3:12" ht="14.45">
      <c r="C33" s="731"/>
      <c r="D33" s="731"/>
      <c r="E33" s="731"/>
      <c r="F33" s="731"/>
      <c r="G33" s="731"/>
      <c r="H33" s="731"/>
      <c r="I33" s="731"/>
      <c r="J33" s="731"/>
      <c r="K33" s="731"/>
      <c r="L33" s="35"/>
    </row>
    <row r="34" spans="3:12" ht="14.45">
      <c r="C34" s="731"/>
      <c r="D34" s="731"/>
      <c r="E34" s="731"/>
      <c r="F34" s="731"/>
      <c r="G34" s="731"/>
      <c r="H34" s="731"/>
      <c r="I34" s="731"/>
      <c r="J34" s="731"/>
      <c r="K34" s="731"/>
      <c r="L34" s="35"/>
    </row>
    <row r="35" spans="3:12" ht="14.45">
      <c r="C35" s="731"/>
      <c r="D35" s="731"/>
      <c r="E35" s="731"/>
      <c r="F35" s="731"/>
      <c r="G35" s="731"/>
      <c r="H35" s="731"/>
      <c r="I35" s="731"/>
      <c r="J35" s="731"/>
      <c r="K35" s="731"/>
      <c r="L35" s="35"/>
    </row>
    <row r="36" spans="3:12" ht="15" customHeight="1">
      <c r="C36" s="731"/>
      <c r="D36" s="731"/>
      <c r="E36" s="731"/>
      <c r="F36" s="731"/>
      <c r="G36" s="731"/>
      <c r="H36" s="731"/>
      <c r="I36" s="731"/>
      <c r="J36" s="731"/>
      <c r="K36" s="731"/>
      <c r="L36" s="35"/>
    </row>
    <row r="37" spans="3:12" ht="14.45">
      <c r="C37" s="731"/>
      <c r="D37" s="731"/>
      <c r="E37" s="731"/>
      <c r="F37" s="731"/>
      <c r="G37" s="731"/>
      <c r="H37" s="731"/>
      <c r="I37" s="731"/>
      <c r="J37" s="731"/>
      <c r="K37" s="731"/>
      <c r="L37" s="35"/>
    </row>
    <row r="38" spans="3:12" ht="14.45">
      <c r="C38" s="731"/>
      <c r="D38" s="731"/>
      <c r="E38" s="731"/>
      <c r="F38" s="731"/>
      <c r="G38" s="731"/>
      <c r="H38" s="731"/>
      <c r="I38" s="731"/>
      <c r="J38" s="731"/>
      <c r="K38" s="731"/>
      <c r="L38" s="35"/>
    </row>
    <row r="39" spans="3:12" ht="14.45">
      <c r="C39" s="731"/>
      <c r="D39" s="731"/>
      <c r="E39" s="731"/>
      <c r="F39" s="731"/>
      <c r="G39" s="731"/>
      <c r="H39" s="731"/>
      <c r="I39" s="731"/>
      <c r="J39" s="731"/>
      <c r="K39" s="731"/>
      <c r="L39" s="35"/>
    </row>
    <row r="40" spans="3:12" ht="14.45">
      <c r="C40" s="35"/>
      <c r="D40" s="35"/>
      <c r="E40" s="35"/>
      <c r="F40" s="35"/>
      <c r="G40" s="35"/>
      <c r="H40" s="35"/>
      <c r="I40" s="35"/>
      <c r="J40" s="35"/>
      <c r="K40" s="35"/>
      <c r="L40" s="35"/>
    </row>
    <row r="41" spans="3:12" ht="14.45">
      <c r="C41" s="731"/>
      <c r="D41" s="731"/>
      <c r="E41" s="731"/>
      <c r="F41" s="731"/>
      <c r="G41" s="731"/>
      <c r="H41" s="731"/>
      <c r="I41" s="731"/>
      <c r="J41" s="731"/>
      <c r="K41" s="731"/>
    </row>
    <row r="42" spans="3:12" ht="14.45">
      <c r="C42" s="731"/>
      <c r="D42" s="731"/>
      <c r="E42" s="731"/>
      <c r="F42" s="731"/>
      <c r="G42" s="731"/>
      <c r="H42" s="731"/>
      <c r="I42" s="731"/>
      <c r="J42" s="731"/>
      <c r="K42" s="731"/>
    </row>
    <row r="43" spans="3:12" ht="14.45">
      <c r="C43" s="731"/>
      <c r="D43" s="731"/>
      <c r="E43" s="731"/>
      <c r="F43" s="731"/>
      <c r="G43" s="731"/>
      <c r="H43" s="731"/>
      <c r="I43" s="731"/>
      <c r="J43" s="731"/>
      <c r="K43" s="731"/>
    </row>
    <row r="44" spans="3:12" ht="14.45">
      <c r="C44" s="731"/>
      <c r="D44" s="731"/>
      <c r="E44" s="731"/>
      <c r="F44" s="731"/>
      <c r="G44" s="731"/>
      <c r="H44" s="731"/>
      <c r="I44" s="731"/>
      <c r="J44" s="731"/>
      <c r="K44" s="731"/>
    </row>
    <row r="45" spans="3:12" ht="14.45">
      <c r="C45" s="731"/>
      <c r="D45" s="731"/>
      <c r="E45" s="731"/>
      <c r="F45" s="731"/>
      <c r="G45" s="731"/>
      <c r="H45" s="731"/>
      <c r="I45" s="731"/>
      <c r="J45" s="731"/>
      <c r="K45" s="731"/>
    </row>
  </sheetData>
  <mergeCells count="35">
    <mergeCell ref="B1:J1"/>
    <mergeCell ref="C3:K3"/>
    <mergeCell ref="C7:K7"/>
    <mergeCell ref="C12:K12"/>
    <mergeCell ref="C10:K10"/>
    <mergeCell ref="C5:K5"/>
    <mergeCell ref="C8:K8"/>
    <mergeCell ref="C28:K28"/>
    <mergeCell ref="C29:K29"/>
    <mergeCell ref="C45:K45"/>
    <mergeCell ref="C31:L31"/>
    <mergeCell ref="C32:L32"/>
    <mergeCell ref="C34:K34"/>
    <mergeCell ref="C35:K35"/>
    <mergeCell ref="C41:K41"/>
    <mergeCell ref="C42:K42"/>
    <mergeCell ref="C43:K43"/>
    <mergeCell ref="C33:K33"/>
    <mergeCell ref="C36:K37"/>
    <mergeCell ref="C38:K38"/>
    <mergeCell ref="C39:K39"/>
    <mergeCell ref="C44:K44"/>
    <mergeCell ref="C13:K13"/>
    <mergeCell ref="C27:K27"/>
    <mergeCell ref="C17:K17"/>
    <mergeCell ref="C14:K14"/>
    <mergeCell ref="C26:L26"/>
    <mergeCell ref="C21:K21"/>
    <mergeCell ref="C24:L24"/>
    <mergeCell ref="C25:L25"/>
    <mergeCell ref="C16:K16"/>
    <mergeCell ref="C23:K23"/>
    <mergeCell ref="C15:K15"/>
    <mergeCell ref="C18:K18"/>
    <mergeCell ref="C19:K19"/>
  </mergeCells>
  <pageMargins left="0.25" right="0.25" top="0.75" bottom="0.75" header="0.3" footer="0.3"/>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A7626-D2FB-4636-BA21-970371912D3B}">
  <dimension ref="A1:L83"/>
  <sheetViews>
    <sheetView topLeftCell="A32" zoomScale="88" zoomScaleNormal="88" zoomScaleSheetLayoutView="100" zoomScalePageLayoutView="80" workbookViewId="0">
      <selection activeCell="G3" sqref="G3"/>
    </sheetView>
  </sheetViews>
  <sheetFormatPr defaultColWidth="9.140625" defaultRowHeight="13.9"/>
  <cols>
    <col min="1" max="1" width="1.85546875" style="1" customWidth="1"/>
    <col min="2" max="2" width="17.28515625" style="1" customWidth="1"/>
    <col min="3" max="3" width="34" style="1" customWidth="1"/>
    <col min="4" max="4" width="39.5703125" style="1" customWidth="1"/>
    <col min="5" max="5" width="15.7109375" style="37" customWidth="1"/>
    <col min="6" max="6" width="18.28515625" style="38" customWidth="1"/>
    <col min="7" max="7" width="18.85546875" style="39" customWidth="1"/>
    <col min="8" max="8" width="11.28515625" style="39" bestFit="1" customWidth="1"/>
    <col min="9" max="10" width="10.140625" style="1" customWidth="1"/>
    <col min="11" max="11" width="12" style="1" customWidth="1"/>
    <col min="12" max="16384" width="9.140625" style="1"/>
  </cols>
  <sheetData>
    <row r="1" spans="1:12">
      <c r="B1" s="55"/>
      <c r="C1" s="55"/>
      <c r="D1" s="55"/>
      <c r="E1" s="56"/>
      <c r="F1" s="57"/>
      <c r="G1" s="58"/>
    </row>
    <row r="2" spans="1:12" ht="26.45">
      <c r="B2" s="59" t="s">
        <v>34</v>
      </c>
      <c r="C2" s="65" t="s">
        <v>35</v>
      </c>
      <c r="D2" s="60"/>
      <c r="E2" s="56"/>
      <c r="F2" s="57"/>
      <c r="G2" s="140" t="s">
        <v>36</v>
      </c>
      <c r="H2" s="140">
        <f>E28/100*15</f>
        <v>2942249.7976041986</v>
      </c>
    </row>
    <row r="3" spans="1:12" ht="26.45">
      <c r="B3" s="107"/>
      <c r="C3" s="65"/>
      <c r="D3" s="60"/>
      <c r="E3" s="56"/>
      <c r="F3" s="57"/>
      <c r="G3" s="140" t="s">
        <v>37</v>
      </c>
      <c r="H3" s="140">
        <f>E28/100*5</f>
        <v>980749.93253473286</v>
      </c>
    </row>
    <row r="4" spans="1:12" s="39" customFormat="1">
      <c r="A4" s="1"/>
      <c r="B4" s="67" t="s">
        <v>38</v>
      </c>
      <c r="C4" s="67" t="s">
        <v>39</v>
      </c>
      <c r="D4" s="735"/>
      <c r="E4" s="61"/>
      <c r="F4" s="62"/>
      <c r="G4" s="63"/>
      <c r="I4" s="1"/>
      <c r="J4" s="1"/>
      <c r="K4" s="1"/>
      <c r="L4" s="1"/>
    </row>
    <row r="5" spans="1:12" s="39" customFormat="1">
      <c r="A5" s="1"/>
      <c r="B5" s="64"/>
      <c r="C5" s="65"/>
      <c r="D5" s="735"/>
      <c r="E5" s="61"/>
      <c r="F5" s="62"/>
      <c r="G5" s="63"/>
      <c r="I5" s="1"/>
      <c r="J5" s="1"/>
      <c r="K5" s="1"/>
      <c r="L5" s="1"/>
    </row>
    <row r="6" spans="1:12">
      <c r="B6" s="66" t="s">
        <v>40</v>
      </c>
      <c r="C6" s="65"/>
      <c r="D6" s="55"/>
      <c r="E6" s="61"/>
      <c r="F6" s="62"/>
      <c r="G6" s="63"/>
    </row>
    <row r="7" spans="1:12">
      <c r="B7" s="65"/>
      <c r="C7" s="65"/>
      <c r="D7" s="55"/>
      <c r="E7" s="61"/>
      <c r="F7" s="62"/>
      <c r="G7" s="63"/>
    </row>
    <row r="8" spans="1:12" ht="15.6">
      <c r="B8" s="118" t="s">
        <v>41</v>
      </c>
      <c r="C8" s="68"/>
      <c r="D8" s="55"/>
      <c r="E8" s="61"/>
      <c r="F8" s="62"/>
      <c r="G8" s="141"/>
      <c r="H8" s="142"/>
    </row>
    <row r="9" spans="1:12">
      <c r="B9" s="55"/>
      <c r="C9" s="55"/>
      <c r="D9" s="55"/>
      <c r="E9" s="61"/>
      <c r="F9" s="69"/>
      <c r="G9" s="63"/>
    </row>
    <row r="10" spans="1:12" ht="14.45" thickBot="1">
      <c r="B10" s="110"/>
      <c r="C10" s="108" t="s">
        <v>42</v>
      </c>
      <c r="D10" s="108" t="s">
        <v>43</v>
      </c>
      <c r="E10" s="109" t="s">
        <v>44</v>
      </c>
      <c r="F10" s="112" t="s">
        <v>45</v>
      </c>
      <c r="G10" s="63"/>
    </row>
    <row r="11" spans="1:12" ht="13.15">
      <c r="B11" s="70"/>
      <c r="C11" s="53"/>
      <c r="D11" s="53"/>
      <c r="E11" s="52"/>
      <c r="F11" s="113"/>
      <c r="G11" s="58"/>
      <c r="K11" s="37"/>
    </row>
    <row r="12" spans="1:12" ht="13.15">
      <c r="B12" s="70"/>
      <c r="C12" s="53" t="s">
        <v>46</v>
      </c>
      <c r="D12" s="128" t="str">
        <f>'NRM1 CP template '!C15</f>
        <v xml:space="preserve">FACILITATING WORKS </v>
      </c>
      <c r="E12" s="71">
        <f>'NRM1 CP template '!K15</f>
        <v>1861500</v>
      </c>
      <c r="F12" s="114">
        <f>E12/3041</f>
        <v>612.13416639263403</v>
      </c>
      <c r="G12" s="72"/>
      <c r="K12" s="37"/>
    </row>
    <row r="13" spans="1:12" ht="13.15">
      <c r="B13" s="70"/>
      <c r="C13" s="53" t="s">
        <v>47</v>
      </c>
      <c r="D13" s="51" t="str">
        <f>'NRM1 CP template '!C33</f>
        <v>SUBSTRUCTURE</v>
      </c>
      <c r="E13" s="52">
        <f>'NRM1 CP template '!K33</f>
        <v>964885.69351808366</v>
      </c>
      <c r="F13" s="114">
        <f t="shared" ref="F13:F19" si="0">E13/3041</f>
        <v>317.29223726342769</v>
      </c>
      <c r="G13" s="63"/>
      <c r="K13" s="37"/>
    </row>
    <row r="14" spans="1:12" ht="13.15">
      <c r="B14" s="73"/>
      <c r="C14" s="74" t="s">
        <v>48</v>
      </c>
      <c r="D14" s="51" t="str">
        <f>'NRM1 CP template '!C48</f>
        <v>SUPERSTRUCTURE</v>
      </c>
      <c r="E14" s="52">
        <f>'NRM1 CP template '!K48</f>
        <v>2699457</v>
      </c>
      <c r="F14" s="114">
        <f t="shared" si="0"/>
        <v>887.68727392305163</v>
      </c>
      <c r="G14" s="63"/>
      <c r="K14" s="37"/>
    </row>
    <row r="15" spans="1:12" ht="13.15">
      <c r="B15" s="73"/>
      <c r="C15" s="53" t="s">
        <v>49</v>
      </c>
      <c r="D15" s="51" t="str">
        <f>'NRM1 CP template '!C109</f>
        <v xml:space="preserve">INTENAL FINISHES </v>
      </c>
      <c r="E15" s="52">
        <f>'NRM1 CP template '!K109</f>
        <v>528711.96</v>
      </c>
      <c r="F15" s="114">
        <f t="shared" si="0"/>
        <v>173.86121670503124</v>
      </c>
      <c r="G15" s="75"/>
      <c r="K15" s="37"/>
    </row>
    <row r="16" spans="1:12" ht="13.15">
      <c r="B16" s="73"/>
      <c r="C16" s="76" t="s">
        <v>50</v>
      </c>
      <c r="D16" s="51" t="str">
        <f>'NRM1 CP template '!C130</f>
        <v>FITTINGS AND FURNISHINGS</v>
      </c>
      <c r="E16" s="52">
        <f>'NRM1 CP template '!K130</f>
        <v>980000</v>
      </c>
      <c r="F16" s="114">
        <f t="shared" si="0"/>
        <v>322.26241367971062</v>
      </c>
      <c r="G16" s="58"/>
      <c r="K16" s="37"/>
    </row>
    <row r="17" spans="2:11" ht="13.35" customHeight="1">
      <c r="B17" s="73"/>
      <c r="C17" s="53" t="s">
        <v>51</v>
      </c>
      <c r="D17" s="51" t="str">
        <f>'NRM1 CP template '!C152</f>
        <v>SERVICES</v>
      </c>
      <c r="E17" s="52">
        <f>'NRM1 CP template '!K152</f>
        <v>2273241.9469696973</v>
      </c>
      <c r="F17" s="114">
        <f t="shared" si="0"/>
        <v>747.53105786573406</v>
      </c>
      <c r="G17" s="58"/>
      <c r="K17" s="37"/>
    </row>
    <row r="18" spans="2:11" ht="13.15">
      <c r="B18" s="73"/>
      <c r="C18" s="53" t="s">
        <v>52</v>
      </c>
      <c r="D18" s="77" t="str">
        <f>'NRM1 CP template '!C247</f>
        <v>EXTERNAL WORKS</v>
      </c>
      <c r="E18" s="52">
        <f>'NRM1 CP template '!K247</f>
        <v>418824.28571428568</v>
      </c>
      <c r="F18" s="114">
        <f t="shared" si="0"/>
        <v>137.72584206323106</v>
      </c>
      <c r="G18" s="58"/>
      <c r="K18" s="37"/>
    </row>
    <row r="19" spans="2:11" ht="13.15">
      <c r="B19" s="73"/>
      <c r="C19" s="53" t="s">
        <v>53</v>
      </c>
      <c r="D19" s="78" t="s">
        <v>54</v>
      </c>
      <c r="E19" s="52">
        <f>'NRM1 CP template '!K284</f>
        <v>3162938.3755156714</v>
      </c>
      <c r="F19" s="114">
        <f t="shared" si="0"/>
        <v>1040.0981175651666</v>
      </c>
      <c r="G19" s="58"/>
      <c r="K19" s="37"/>
    </row>
    <row r="20" spans="2:11" ht="13.15">
      <c r="B20" s="79"/>
      <c r="C20" s="80"/>
      <c r="D20" s="78"/>
      <c r="E20" s="52"/>
      <c r="F20" s="113"/>
      <c r="G20" s="82"/>
      <c r="H20" s="41"/>
      <c r="I20" s="40"/>
      <c r="J20" s="40"/>
      <c r="K20" s="37"/>
    </row>
    <row r="21" spans="2:11" thickBot="1">
      <c r="B21" s="88" t="s">
        <v>55</v>
      </c>
      <c r="C21" s="83"/>
      <c r="D21" s="84"/>
      <c r="E21" s="129">
        <f>SUM(E12:E19)</f>
        <v>12889559.261717737</v>
      </c>
      <c r="F21" s="147">
        <f>E21/3041</f>
        <v>4238.5923254579866</v>
      </c>
      <c r="G21" s="58"/>
      <c r="K21" s="37"/>
    </row>
    <row r="22" spans="2:11" ht="11.45" customHeight="1" thickTop="1">
      <c r="B22" s="70"/>
      <c r="C22" s="83"/>
      <c r="D22" s="84"/>
      <c r="E22" s="85"/>
      <c r="F22" s="115"/>
      <c r="G22" s="58"/>
      <c r="K22" s="37"/>
    </row>
    <row r="23" spans="2:11" ht="11.45" customHeight="1">
      <c r="B23" s="70"/>
      <c r="C23" s="83"/>
      <c r="D23" s="84"/>
      <c r="E23" s="85"/>
      <c r="F23" s="115"/>
      <c r="G23" s="58"/>
      <c r="K23" s="37"/>
    </row>
    <row r="24" spans="2:11" ht="11.45" customHeight="1">
      <c r="B24" s="70"/>
      <c r="C24" s="53" t="s">
        <v>56</v>
      </c>
      <c r="D24" s="84">
        <v>1.24</v>
      </c>
      <c r="E24" s="85"/>
      <c r="F24" s="115"/>
      <c r="G24" s="58"/>
      <c r="K24" s="37"/>
    </row>
    <row r="25" spans="2:11" ht="11.45" customHeight="1">
      <c r="B25" s="70"/>
      <c r="C25" s="53" t="s">
        <v>57</v>
      </c>
      <c r="D25" s="84">
        <v>2.2200000000000002</v>
      </c>
      <c r="E25" s="85"/>
      <c r="F25" s="115"/>
      <c r="G25" s="58"/>
      <c r="K25" s="37"/>
    </row>
    <row r="26" spans="2:11" ht="11.45" customHeight="1" thickBot="1">
      <c r="B26" s="70"/>
      <c r="C26" s="53"/>
      <c r="D26" s="84"/>
      <c r="E26" s="129">
        <f>(E21/D24)*D25</f>
        <v>23076469.000817243</v>
      </c>
      <c r="F26" s="129">
        <f>F21/D24*D25</f>
        <v>7588.4475504167185</v>
      </c>
      <c r="G26" s="58"/>
      <c r="K26" s="37"/>
    </row>
    <row r="27" spans="2:11" ht="11.45" customHeight="1" thickTop="1">
      <c r="B27" s="70"/>
      <c r="C27" s="53" t="s">
        <v>58</v>
      </c>
      <c r="D27" s="84">
        <v>0.85</v>
      </c>
      <c r="E27" s="85"/>
      <c r="F27" s="115"/>
      <c r="G27" s="58"/>
      <c r="K27" s="37"/>
    </row>
    <row r="28" spans="2:11" thickBot="1">
      <c r="B28" s="73"/>
      <c r="C28" s="137"/>
      <c r="D28" s="138"/>
      <c r="E28" s="130">
        <f>E26*D27</f>
        <v>19614998.650694657</v>
      </c>
      <c r="F28" s="130">
        <f>F26*D27</f>
        <v>6450.1804178542106</v>
      </c>
      <c r="G28" s="58"/>
      <c r="I28" s="42"/>
      <c r="J28" s="42"/>
      <c r="K28" s="37"/>
    </row>
    <row r="29" spans="2:11" ht="14.45" thickTop="1">
      <c r="B29" s="88" t="s">
        <v>59</v>
      </c>
      <c r="C29" s="53"/>
      <c r="D29" s="86"/>
      <c r="E29" s="52"/>
      <c r="F29" s="115"/>
      <c r="G29" s="58"/>
      <c r="I29" s="42"/>
      <c r="J29" s="42"/>
      <c r="K29" s="37"/>
    </row>
    <row r="30" spans="2:11">
      <c r="B30" s="73" t="s">
        <v>60</v>
      </c>
      <c r="C30" s="53"/>
      <c r="D30" s="86"/>
      <c r="E30" s="52">
        <v>100000</v>
      </c>
      <c r="F30" s="115">
        <f>E30/3041</f>
        <v>32.883919763235781</v>
      </c>
      <c r="G30" s="58"/>
      <c r="I30" s="42"/>
      <c r="J30" s="42"/>
      <c r="K30" s="37"/>
    </row>
    <row r="31" spans="2:11">
      <c r="B31" s="73" t="s">
        <v>61</v>
      </c>
      <c r="C31" s="53"/>
      <c r="D31" s="86"/>
      <c r="E31" s="52">
        <v>50000</v>
      </c>
      <c r="F31" s="115">
        <f t="shared" ref="F31:F36" si="1">E31/3041</f>
        <v>16.44195988161789</v>
      </c>
      <c r="G31" s="58"/>
      <c r="I31" s="42"/>
      <c r="J31" s="42"/>
      <c r="K31" s="37"/>
    </row>
    <row r="32" spans="2:11">
      <c r="B32" s="73" t="s">
        <v>62</v>
      </c>
      <c r="C32" s="53"/>
      <c r="D32" s="86"/>
      <c r="E32" s="52">
        <v>30000</v>
      </c>
      <c r="F32" s="115">
        <f t="shared" si="1"/>
        <v>9.8651759289707339</v>
      </c>
      <c r="G32" s="58"/>
      <c r="I32" s="42"/>
      <c r="J32" s="42"/>
      <c r="K32" s="37"/>
    </row>
    <row r="33" spans="2:11">
      <c r="B33" s="73" t="s">
        <v>63</v>
      </c>
      <c r="C33" s="53"/>
      <c r="D33" s="86"/>
      <c r="E33" s="52">
        <v>5000</v>
      </c>
      <c r="F33" s="115">
        <f t="shared" si="1"/>
        <v>1.6441959881617889</v>
      </c>
      <c r="G33" s="58"/>
      <c r="I33" s="42"/>
      <c r="J33" s="42"/>
      <c r="K33" s="37"/>
    </row>
    <row r="34" spans="2:11">
      <c r="B34" s="73" t="s">
        <v>64</v>
      </c>
      <c r="C34" s="53"/>
      <c r="D34" s="86"/>
      <c r="E34" s="52">
        <f>2500*52</f>
        <v>130000</v>
      </c>
      <c r="F34" s="115">
        <f t="shared" si="1"/>
        <v>42.74909569220651</v>
      </c>
      <c r="G34" s="58"/>
      <c r="I34" s="42"/>
      <c r="J34" s="42"/>
      <c r="K34" s="37"/>
    </row>
    <row r="35" spans="2:11">
      <c r="B35" s="73" t="s">
        <v>65</v>
      </c>
      <c r="C35" s="53"/>
      <c r="D35" s="86"/>
      <c r="E35" s="52">
        <f>450*52</f>
        <v>23400</v>
      </c>
      <c r="F35" s="115">
        <f t="shared" si="1"/>
        <v>7.6948372245971717</v>
      </c>
      <c r="G35" s="58"/>
      <c r="I35" s="42"/>
      <c r="J35" s="42"/>
      <c r="K35" s="37"/>
    </row>
    <row r="36" spans="2:11">
      <c r="B36" s="73" t="s">
        <v>66</v>
      </c>
      <c r="C36" s="53"/>
      <c r="D36" s="86"/>
      <c r="E36" s="52">
        <v>80000</v>
      </c>
      <c r="F36" s="115">
        <f t="shared" si="1"/>
        <v>26.307135810588623</v>
      </c>
      <c r="G36" s="58"/>
      <c r="I36" s="42"/>
      <c r="J36" s="42"/>
      <c r="K36" s="37"/>
    </row>
    <row r="37" spans="2:11" thickBot="1">
      <c r="B37" s="73"/>
      <c r="C37" s="53"/>
      <c r="D37" s="86"/>
      <c r="E37" s="599">
        <f>SUM(E30:E36)*0.85</f>
        <v>355640</v>
      </c>
      <c r="F37" s="129">
        <f>SUM(F30:F36)*0.85</f>
        <v>116.94837224597173</v>
      </c>
      <c r="G37" s="58"/>
      <c r="I37" s="42"/>
      <c r="J37" s="42"/>
      <c r="K37" s="37"/>
    </row>
    <row r="38" spans="2:11" ht="14.45" thickTop="1">
      <c r="B38" s="88" t="s">
        <v>67</v>
      </c>
      <c r="C38" s="83"/>
      <c r="D38" s="84"/>
      <c r="E38" s="85"/>
      <c r="F38" s="143"/>
      <c r="G38" s="58"/>
      <c r="I38" s="42"/>
      <c r="J38" s="42"/>
      <c r="K38" s="37"/>
    </row>
    <row r="39" spans="2:11">
      <c r="B39" s="73"/>
      <c r="C39" s="83"/>
      <c r="D39" s="84"/>
      <c r="E39" s="87"/>
      <c r="F39" s="115"/>
      <c r="G39" s="58"/>
      <c r="I39" s="42"/>
      <c r="J39" s="42"/>
      <c r="K39" s="37"/>
    </row>
    <row r="40" spans="2:11" ht="13.15">
      <c r="B40" s="131" t="str">
        <f>'NRM1 CP template '!C272</f>
        <v>0HP</v>
      </c>
      <c r="C40" s="133" t="str">
        <f>'NRM1 CP template '!C273</f>
        <v xml:space="preserve">12 % of the overall build cost </v>
      </c>
      <c r="D40" s="84"/>
      <c r="E40" s="52">
        <f>'NRM1 CP template '!J273</f>
        <v>1167194.5063442478</v>
      </c>
      <c r="F40" s="144">
        <f>E40/3041</f>
        <v>383.81930494713839</v>
      </c>
      <c r="G40" s="58"/>
      <c r="I40" s="42"/>
      <c r="J40" s="42"/>
      <c r="K40" s="37"/>
    </row>
    <row r="41" spans="2:11" ht="13.15">
      <c r="B41" s="131" t="str">
        <f>'NRM1 CP template '!C275</f>
        <v xml:space="preserve">Waste Costs </v>
      </c>
      <c r="C41" s="133" t="str">
        <f>'NRM1 CP template '!C276</f>
        <v xml:space="preserve">10% of the overall build cost </v>
      </c>
      <c r="D41" s="84"/>
      <c r="E41" s="52">
        <f>'NRM1 CP template '!J275</f>
        <v>972662.08862020657</v>
      </c>
      <c r="F41" s="144">
        <f t="shared" ref="F41:F43" si="2">E41/3041</f>
        <v>319.84942078928202</v>
      </c>
      <c r="G41" s="58"/>
      <c r="I41" s="42"/>
      <c r="J41" s="42"/>
      <c r="K41" s="37"/>
    </row>
    <row r="42" spans="2:11" ht="13.15">
      <c r="B42" s="132" t="str">
        <f>'NRM1 CP template '!C278</f>
        <v xml:space="preserve">Maintinance Costs </v>
      </c>
      <c r="C42" s="134" t="str">
        <f>'NRM1 CP template '!C279</f>
        <v xml:space="preserve">5% of the overall build cost </v>
      </c>
      <c r="D42" s="84"/>
      <c r="E42" s="52">
        <f>'NRM1 CP template '!J279</f>
        <v>48633.104431010324</v>
      </c>
      <c r="F42" s="144">
        <f t="shared" si="2"/>
        <v>15.9924710394641</v>
      </c>
      <c r="G42" s="58"/>
      <c r="I42" s="42"/>
      <c r="J42" s="42"/>
      <c r="K42" s="37"/>
    </row>
    <row r="43" spans="2:11" ht="13.15">
      <c r="B43" s="132" t="str">
        <f>'NRM1 CP template '!C282</f>
        <v>Whole Life Costing</v>
      </c>
      <c r="C43" s="134" t="str">
        <f>'NRM1 CP template '!C283</f>
        <v>10% of the overall cost</v>
      </c>
      <c r="D43" s="84"/>
      <c r="E43" s="52">
        <f>'NRM1 CP template '!J283</f>
        <v>972662.08862020657</v>
      </c>
      <c r="F43" s="144">
        <f t="shared" si="2"/>
        <v>319.84942078928202</v>
      </c>
      <c r="G43" s="58"/>
      <c r="I43" s="42"/>
      <c r="J43" s="42"/>
      <c r="K43" s="37"/>
    </row>
    <row r="44" spans="2:11" thickBot="1">
      <c r="B44" s="70"/>
      <c r="C44" s="83"/>
      <c r="D44" s="84"/>
      <c r="E44" s="129">
        <f>SUM(E40:E43)*0.85</f>
        <v>2686979.0198133201</v>
      </c>
      <c r="F44" s="145">
        <f>SUM(F40:F43)*0.85</f>
        <v>883.58402493039148</v>
      </c>
      <c r="G44" s="58"/>
      <c r="I44" s="42"/>
      <c r="J44" s="42"/>
      <c r="K44" s="37"/>
    </row>
    <row r="45" spans="2:11" ht="14.45" thickTop="1">
      <c r="B45" s="70"/>
      <c r="C45" s="83"/>
      <c r="D45" s="84"/>
      <c r="E45" s="85"/>
      <c r="F45" s="146"/>
      <c r="G45" s="58"/>
      <c r="I45" s="42"/>
      <c r="J45" s="42"/>
      <c r="K45" s="37"/>
    </row>
    <row r="46" spans="2:11" thickBot="1">
      <c r="B46" s="88" t="s">
        <v>68</v>
      </c>
      <c r="C46" s="89"/>
      <c r="D46" s="90"/>
      <c r="E46" s="135">
        <f>E28+E37+E44</f>
        <v>22657617.670507979</v>
      </c>
      <c r="F46" s="135">
        <f>F28+F37+F44</f>
        <v>7450.7128150305743</v>
      </c>
      <c r="G46" s="58"/>
      <c r="I46" s="42"/>
      <c r="J46" s="42"/>
      <c r="K46" s="37"/>
    </row>
    <row r="47" spans="2:11" ht="14.45" thickTop="1">
      <c r="B47" s="73"/>
      <c r="C47" s="53"/>
      <c r="D47" s="86"/>
      <c r="E47" s="52"/>
      <c r="F47" s="115"/>
      <c r="G47" s="58"/>
      <c r="I47" s="42"/>
      <c r="J47" s="42"/>
      <c r="K47" s="37"/>
    </row>
    <row r="48" spans="2:11">
      <c r="B48" s="73"/>
      <c r="C48" s="53" t="s">
        <v>69</v>
      </c>
      <c r="D48" s="53"/>
      <c r="E48" s="91"/>
      <c r="F48" s="115"/>
      <c r="G48" s="58"/>
      <c r="I48" s="42"/>
      <c r="J48" s="42"/>
      <c r="K48" s="37"/>
    </row>
    <row r="49" spans="2:11">
      <c r="B49" s="73"/>
      <c r="C49" s="53"/>
      <c r="D49" s="53"/>
      <c r="E49" s="91"/>
      <c r="F49" s="115"/>
      <c r="G49" s="58"/>
      <c r="I49" s="42"/>
      <c r="J49" s="42"/>
      <c r="K49" s="37"/>
    </row>
    <row r="50" spans="2:11">
      <c r="B50" s="73"/>
      <c r="C50" s="53" t="s">
        <v>70</v>
      </c>
      <c r="D50" s="53" t="s">
        <v>71</v>
      </c>
      <c r="E50" s="91">
        <f>E46*2.5%</f>
        <v>566440.44176269951</v>
      </c>
      <c r="F50" s="117">
        <f>E50*0.85</f>
        <v>481474.3754982946</v>
      </c>
      <c r="G50" s="58"/>
      <c r="I50" s="42"/>
      <c r="J50" s="42"/>
      <c r="K50" s="37"/>
    </row>
    <row r="51" spans="2:11">
      <c r="B51" s="73"/>
      <c r="C51" s="53" t="s">
        <v>72</v>
      </c>
      <c r="D51" s="53" t="s">
        <v>71</v>
      </c>
      <c r="E51" s="91">
        <f>E46*2.5%</f>
        <v>566440.44176269951</v>
      </c>
      <c r="F51" s="117">
        <f t="shared" ref="F51:F53" si="3">E51*0.85</f>
        <v>481474.3754982946</v>
      </c>
      <c r="G51" s="58"/>
      <c r="I51" s="42"/>
      <c r="J51" s="42"/>
      <c r="K51" s="37"/>
    </row>
    <row r="52" spans="2:11">
      <c r="B52" s="73"/>
      <c r="C52" s="53" t="s">
        <v>73</v>
      </c>
      <c r="D52" s="53" t="s">
        <v>74</v>
      </c>
      <c r="E52" s="91">
        <f>E46*2.5%</f>
        <v>566440.44176269951</v>
      </c>
      <c r="F52" s="117">
        <f t="shared" si="3"/>
        <v>481474.3754982946</v>
      </c>
      <c r="G52" s="58"/>
      <c r="I52" s="42"/>
      <c r="J52" s="42"/>
      <c r="K52" s="37"/>
    </row>
    <row r="53" spans="2:11">
      <c r="B53" s="73"/>
      <c r="C53" s="53" t="s">
        <v>75</v>
      </c>
      <c r="D53" s="53" t="s">
        <v>71</v>
      </c>
      <c r="E53" s="91">
        <f>E46*2.5%</f>
        <v>566440.44176269951</v>
      </c>
      <c r="F53" s="117">
        <f t="shared" si="3"/>
        <v>481474.3754982946</v>
      </c>
      <c r="I53" s="42"/>
      <c r="J53" s="42"/>
      <c r="K53" s="37"/>
    </row>
    <row r="54" spans="2:11">
      <c r="B54" s="73"/>
      <c r="C54" s="53"/>
      <c r="D54" s="92"/>
      <c r="E54" s="52"/>
      <c r="F54" s="115"/>
      <c r="G54" s="58"/>
      <c r="I54" s="42"/>
      <c r="J54" s="42"/>
      <c r="K54" s="37"/>
    </row>
    <row r="55" spans="2:11" thickBot="1">
      <c r="B55" s="73" t="s">
        <v>76</v>
      </c>
      <c r="C55" s="53"/>
      <c r="D55" s="53"/>
      <c r="E55" s="129">
        <f>SUM(E50:E54)</f>
        <v>2265761.7670507981</v>
      </c>
      <c r="F55" s="136">
        <f>SUM(F50:F53)*0.85</f>
        <v>1637012.8766942015</v>
      </c>
      <c r="G55" s="58"/>
      <c r="I55" s="42"/>
      <c r="J55" s="42"/>
      <c r="K55" s="37"/>
    </row>
    <row r="56" spans="2:11" ht="14.45" thickTop="1">
      <c r="B56" s="70"/>
      <c r="C56" s="83"/>
      <c r="D56" s="83"/>
      <c r="E56" s="52"/>
      <c r="F56" s="115"/>
      <c r="G56" s="58"/>
      <c r="K56" s="37"/>
    </row>
    <row r="57" spans="2:11" s="39" customFormat="1" ht="16.149999999999999" thickBot="1">
      <c r="B57" s="93" t="s">
        <v>77</v>
      </c>
      <c r="C57" s="94"/>
      <c r="D57" s="94"/>
      <c r="E57" s="139">
        <f>E46+E55</f>
        <v>24923379.437558778</v>
      </c>
      <c r="F57" s="139">
        <f>F46+F55</f>
        <v>1644463.589509232</v>
      </c>
      <c r="G57" s="55"/>
      <c r="I57" s="1"/>
      <c r="J57" s="1"/>
      <c r="K57" s="37"/>
    </row>
    <row r="58" spans="2:11" s="39" customFormat="1" ht="15" thickTop="1" thickBot="1">
      <c r="B58" s="95"/>
      <c r="C58" s="96"/>
      <c r="D58" s="96"/>
      <c r="E58" s="81"/>
      <c r="F58" s="116"/>
      <c r="G58" s="58"/>
      <c r="I58" s="1"/>
      <c r="J58" s="1"/>
      <c r="K58" s="1"/>
    </row>
    <row r="59" spans="2:11">
      <c r="B59" s="97"/>
      <c r="C59" s="97"/>
      <c r="D59" s="98"/>
      <c r="E59" s="99"/>
      <c r="F59" s="57"/>
      <c r="G59" s="58"/>
    </row>
    <row r="60" spans="2:11">
      <c r="B60" s="55"/>
      <c r="C60" s="55"/>
      <c r="D60" s="100"/>
      <c r="E60" s="101"/>
      <c r="F60" s="57"/>
      <c r="G60" s="58"/>
    </row>
    <row r="61" spans="2:11">
      <c r="B61" s="55"/>
      <c r="C61" s="55"/>
      <c r="D61" s="100"/>
      <c r="E61" s="101"/>
      <c r="F61" s="57"/>
      <c r="G61" s="58"/>
    </row>
    <row r="62" spans="2:11">
      <c r="B62" s="55"/>
      <c r="C62" s="55"/>
      <c r="D62" s="100"/>
      <c r="E62" s="101"/>
      <c r="F62" s="57"/>
      <c r="G62" s="58"/>
    </row>
    <row r="63" spans="2:11">
      <c r="B63" s="55"/>
      <c r="C63" s="55"/>
      <c r="D63" s="100"/>
      <c r="E63" s="101"/>
      <c r="F63" s="57"/>
      <c r="G63" s="58"/>
    </row>
    <row r="64" spans="2:11">
      <c r="B64" s="55"/>
      <c r="C64" s="55"/>
      <c r="D64" s="100"/>
      <c r="E64" s="101"/>
      <c r="F64" s="57"/>
      <c r="G64" s="58"/>
    </row>
    <row r="65" spans="2:7">
      <c r="B65" s="55"/>
      <c r="C65" s="55"/>
      <c r="D65" s="100"/>
      <c r="E65" s="101"/>
      <c r="F65" s="57"/>
      <c r="G65" s="58"/>
    </row>
    <row r="66" spans="2:7">
      <c r="B66" s="55"/>
      <c r="C66" s="55"/>
      <c r="D66" s="100"/>
      <c r="E66" s="101"/>
      <c r="F66" s="57"/>
      <c r="G66" s="58"/>
    </row>
    <row r="67" spans="2:7">
      <c r="B67" s="55"/>
      <c r="C67" s="55"/>
      <c r="D67" s="100"/>
      <c r="E67" s="101"/>
      <c r="F67" s="57"/>
      <c r="G67" s="58"/>
    </row>
    <row r="68" spans="2:7">
      <c r="D68" s="43"/>
      <c r="E68" s="44"/>
    </row>
    <row r="69" spans="2:7">
      <c r="D69" s="43"/>
      <c r="E69" s="44"/>
    </row>
    <row r="70" spans="2:7">
      <c r="D70" s="43"/>
      <c r="E70" s="44"/>
    </row>
    <row r="71" spans="2:7">
      <c r="D71" s="43"/>
      <c r="E71" s="44"/>
    </row>
    <row r="72" spans="2:7">
      <c r="D72" s="43"/>
      <c r="E72" s="44"/>
    </row>
    <row r="73" spans="2:7">
      <c r="D73" s="43"/>
      <c r="E73" s="44"/>
    </row>
    <row r="74" spans="2:7">
      <c r="D74" s="43"/>
      <c r="E74" s="44"/>
    </row>
    <row r="75" spans="2:7">
      <c r="D75" s="43"/>
      <c r="E75" s="44"/>
    </row>
    <row r="76" spans="2:7">
      <c r="D76" s="43"/>
      <c r="E76" s="44"/>
    </row>
    <row r="77" spans="2:7">
      <c r="D77" s="43"/>
      <c r="E77" s="44"/>
    </row>
    <row r="78" spans="2:7">
      <c r="D78" s="43"/>
      <c r="E78" s="44"/>
    </row>
    <row r="79" spans="2:7">
      <c r="D79" s="43"/>
      <c r="E79" s="44"/>
    </row>
    <row r="80" spans="2:7">
      <c r="D80" s="43"/>
      <c r="E80" s="44"/>
    </row>
    <row r="81" spans="4:5">
      <c r="D81" s="43"/>
      <c r="E81" s="44"/>
    </row>
    <row r="82" spans="4:5">
      <c r="D82" s="43"/>
      <c r="E82" s="44"/>
    </row>
    <row r="83" spans="4:5">
      <c r="D83" s="43"/>
      <c r="E83" s="44"/>
    </row>
  </sheetData>
  <mergeCells count="1">
    <mergeCell ref="D4:D5"/>
  </mergeCells>
  <pageMargins left="0.7" right="0.7" top="0.75" bottom="0.75" header="0.3" footer="0.3"/>
  <pageSetup paperSize="9" scale="79" fitToWidth="0" fitToHeight="0"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6B8E-65F8-4CCF-9C7B-684A8C2D9E0C}">
  <sheetPr>
    <tabColor rgb="FFFBB616"/>
    <pageSetUpPr fitToPage="1"/>
  </sheetPr>
  <dimension ref="A1:U344"/>
  <sheetViews>
    <sheetView showGridLines="0" tabSelected="1" topLeftCell="A234" zoomScale="88" zoomScaleNormal="55" zoomScaleSheetLayoutView="74" zoomScalePageLayoutView="70" workbookViewId="0">
      <selection activeCell="C248" sqref="C248"/>
    </sheetView>
  </sheetViews>
  <sheetFormatPr defaultColWidth="8.85546875" defaultRowHeight="13.15"/>
  <cols>
    <col min="1" max="1" width="9" style="419" customWidth="1"/>
    <col min="2" max="2" width="2" style="163" customWidth="1"/>
    <col min="3" max="3" width="49" style="164" customWidth="1"/>
    <col min="4" max="4" width="11.85546875" style="233" customWidth="1"/>
    <col min="5" max="5" width="8.28515625" style="233" bestFit="1" customWidth="1"/>
    <col min="6" max="6" width="12.7109375" style="234" customWidth="1"/>
    <col min="7" max="7" width="8.140625" style="235" customWidth="1"/>
    <col min="8" max="8" width="1.42578125" style="164" customWidth="1"/>
    <col min="9" max="9" width="18.7109375" style="236" customWidth="1"/>
    <col min="10" max="10" width="22.42578125" style="236" customWidth="1"/>
    <col min="11" max="11" width="30.28515625" style="236" customWidth="1"/>
    <col min="12" max="12" width="23.28515625" style="171" customWidth="1"/>
    <col min="13" max="13" width="1.140625" style="172" customWidth="1"/>
    <col min="14" max="14" width="21.85546875" style="172" customWidth="1"/>
    <col min="15" max="15" width="21.42578125" style="172" customWidth="1"/>
    <col min="16" max="16" width="47.85546875" style="173" customWidth="1"/>
    <col min="17" max="266" width="9.140625" style="173"/>
    <col min="267" max="267" width="8.85546875" style="173" customWidth="1"/>
    <col min="268" max="268" width="91.140625" style="173" customWidth="1"/>
    <col min="269" max="269" width="11.42578125" style="173" customWidth="1"/>
    <col min="270" max="270" width="44" style="173" customWidth="1"/>
    <col min="271" max="522" width="9.140625" style="173"/>
    <col min="523" max="523" width="8.85546875" style="173" customWidth="1"/>
    <col min="524" max="524" width="91.140625" style="173" customWidth="1"/>
    <col min="525" max="525" width="11.42578125" style="173" customWidth="1"/>
    <col min="526" max="526" width="44" style="173" customWidth="1"/>
    <col min="527" max="778" width="9.140625" style="173"/>
    <col min="779" max="779" width="8.85546875" style="173" customWidth="1"/>
    <col min="780" max="780" width="91.140625" style="173" customWidth="1"/>
    <col min="781" max="781" width="11.42578125" style="173" customWidth="1"/>
    <col min="782" max="782" width="44" style="173" customWidth="1"/>
    <col min="783" max="1034" width="9.140625" style="173"/>
    <col min="1035" max="1035" width="8.85546875" style="173" customWidth="1"/>
    <col min="1036" max="1036" width="91.140625" style="173" customWidth="1"/>
    <col min="1037" max="1037" width="11.42578125" style="173" customWidth="1"/>
    <col min="1038" max="1038" width="44" style="173" customWidth="1"/>
    <col min="1039" max="1290" width="9.140625" style="173"/>
    <col min="1291" max="1291" width="8.85546875" style="173" customWidth="1"/>
    <col min="1292" max="1292" width="91.140625" style="173" customWidth="1"/>
    <col min="1293" max="1293" width="11.42578125" style="173" customWidth="1"/>
    <col min="1294" max="1294" width="44" style="173" customWidth="1"/>
    <col min="1295" max="1546" width="9.140625" style="173"/>
    <col min="1547" max="1547" width="8.85546875" style="173" customWidth="1"/>
    <col min="1548" max="1548" width="91.140625" style="173" customWidth="1"/>
    <col min="1549" max="1549" width="11.42578125" style="173" customWidth="1"/>
    <col min="1550" max="1550" width="44" style="173" customWidth="1"/>
    <col min="1551" max="1802" width="9.140625" style="173"/>
    <col min="1803" max="1803" width="8.85546875" style="173" customWidth="1"/>
    <col min="1804" max="1804" width="91.140625" style="173" customWidth="1"/>
    <col min="1805" max="1805" width="11.42578125" style="173" customWidth="1"/>
    <col min="1806" max="1806" width="44" style="173" customWidth="1"/>
    <col min="1807" max="2058" width="9.140625" style="173"/>
    <col min="2059" max="2059" width="8.85546875" style="173" customWidth="1"/>
    <col min="2060" max="2060" width="91.140625" style="173" customWidth="1"/>
    <col min="2061" max="2061" width="11.42578125" style="173" customWidth="1"/>
    <col min="2062" max="2062" width="44" style="173" customWidth="1"/>
    <col min="2063" max="2314" width="9.140625" style="173"/>
    <col min="2315" max="2315" width="8.85546875" style="173" customWidth="1"/>
    <col min="2316" max="2316" width="91.140625" style="173" customWidth="1"/>
    <col min="2317" max="2317" width="11.42578125" style="173" customWidth="1"/>
    <col min="2318" max="2318" width="44" style="173" customWidth="1"/>
    <col min="2319" max="2570" width="9.140625" style="173"/>
    <col min="2571" max="2571" width="8.85546875" style="173" customWidth="1"/>
    <col min="2572" max="2572" width="91.140625" style="173" customWidth="1"/>
    <col min="2573" max="2573" width="11.42578125" style="173" customWidth="1"/>
    <col min="2574" max="2574" width="44" style="173" customWidth="1"/>
    <col min="2575" max="2826" width="9.140625" style="173"/>
    <col min="2827" max="2827" width="8.85546875" style="173" customWidth="1"/>
    <col min="2828" max="2828" width="91.140625" style="173" customWidth="1"/>
    <col min="2829" max="2829" width="11.42578125" style="173" customWidth="1"/>
    <col min="2830" max="2830" width="44" style="173" customWidth="1"/>
    <col min="2831" max="3082" width="9.140625" style="173"/>
    <col min="3083" max="3083" width="8.85546875" style="173" customWidth="1"/>
    <col min="3084" max="3084" width="91.140625" style="173" customWidth="1"/>
    <col min="3085" max="3085" width="11.42578125" style="173" customWidth="1"/>
    <col min="3086" max="3086" width="44" style="173" customWidth="1"/>
    <col min="3087" max="3338" width="9.140625" style="173"/>
    <col min="3339" max="3339" width="8.85546875" style="173" customWidth="1"/>
    <col min="3340" max="3340" width="91.140625" style="173" customWidth="1"/>
    <col min="3341" max="3341" width="11.42578125" style="173" customWidth="1"/>
    <col min="3342" max="3342" width="44" style="173" customWidth="1"/>
    <col min="3343" max="3594" width="9.140625" style="173"/>
    <col min="3595" max="3595" width="8.85546875" style="173" customWidth="1"/>
    <col min="3596" max="3596" width="91.140625" style="173" customWidth="1"/>
    <col min="3597" max="3597" width="11.42578125" style="173" customWidth="1"/>
    <col min="3598" max="3598" width="44" style="173" customWidth="1"/>
    <col min="3599" max="3850" width="9.140625" style="173"/>
    <col min="3851" max="3851" width="8.85546875" style="173" customWidth="1"/>
    <col min="3852" max="3852" width="91.140625" style="173" customWidth="1"/>
    <col min="3853" max="3853" width="11.42578125" style="173" customWidth="1"/>
    <col min="3854" max="3854" width="44" style="173" customWidth="1"/>
    <col min="3855" max="4106" width="9.140625" style="173"/>
    <col min="4107" max="4107" width="8.85546875" style="173" customWidth="1"/>
    <col min="4108" max="4108" width="91.140625" style="173" customWidth="1"/>
    <col min="4109" max="4109" width="11.42578125" style="173" customWidth="1"/>
    <col min="4110" max="4110" width="44" style="173" customWidth="1"/>
    <col min="4111" max="4362" width="9.140625" style="173"/>
    <col min="4363" max="4363" width="8.85546875" style="173" customWidth="1"/>
    <col min="4364" max="4364" width="91.140625" style="173" customWidth="1"/>
    <col min="4365" max="4365" width="11.42578125" style="173" customWidth="1"/>
    <col min="4366" max="4366" width="44" style="173" customWidth="1"/>
    <col min="4367" max="4618" width="9.140625" style="173"/>
    <col min="4619" max="4619" width="8.85546875" style="173" customWidth="1"/>
    <col min="4620" max="4620" width="91.140625" style="173" customWidth="1"/>
    <col min="4621" max="4621" width="11.42578125" style="173" customWidth="1"/>
    <col min="4622" max="4622" width="44" style="173" customWidth="1"/>
    <col min="4623" max="4874" width="9.140625" style="173"/>
    <col min="4875" max="4875" width="8.85546875" style="173" customWidth="1"/>
    <col min="4876" max="4876" width="91.140625" style="173" customWidth="1"/>
    <col min="4877" max="4877" width="11.42578125" style="173" customWidth="1"/>
    <col min="4878" max="4878" width="44" style="173" customWidth="1"/>
    <col min="4879" max="5130" width="9.140625" style="173"/>
    <col min="5131" max="5131" width="8.85546875" style="173" customWidth="1"/>
    <col min="5132" max="5132" width="91.140625" style="173" customWidth="1"/>
    <col min="5133" max="5133" width="11.42578125" style="173" customWidth="1"/>
    <col min="5134" max="5134" width="44" style="173" customWidth="1"/>
    <col min="5135" max="5386" width="9.140625" style="173"/>
    <col min="5387" max="5387" width="8.85546875" style="173" customWidth="1"/>
    <col min="5388" max="5388" width="91.140625" style="173" customWidth="1"/>
    <col min="5389" max="5389" width="11.42578125" style="173" customWidth="1"/>
    <col min="5390" max="5390" width="44" style="173" customWidth="1"/>
    <col min="5391" max="5642" width="9.140625" style="173"/>
    <col min="5643" max="5643" width="8.85546875" style="173" customWidth="1"/>
    <col min="5644" max="5644" width="91.140625" style="173" customWidth="1"/>
    <col min="5645" max="5645" width="11.42578125" style="173" customWidth="1"/>
    <col min="5646" max="5646" width="44" style="173" customWidth="1"/>
    <col min="5647" max="5898" width="9.140625" style="173"/>
    <col min="5899" max="5899" width="8.85546875" style="173" customWidth="1"/>
    <col min="5900" max="5900" width="91.140625" style="173" customWidth="1"/>
    <col min="5901" max="5901" width="11.42578125" style="173" customWidth="1"/>
    <col min="5902" max="5902" width="44" style="173" customWidth="1"/>
    <col min="5903" max="6154" width="9.140625" style="173"/>
    <col min="6155" max="6155" width="8.85546875" style="173" customWidth="1"/>
    <col min="6156" max="6156" width="91.140625" style="173" customWidth="1"/>
    <col min="6157" max="6157" width="11.42578125" style="173" customWidth="1"/>
    <col min="6158" max="6158" width="44" style="173" customWidth="1"/>
    <col min="6159" max="6410" width="9.140625" style="173"/>
    <col min="6411" max="6411" width="8.85546875" style="173" customWidth="1"/>
    <col min="6412" max="6412" width="91.140625" style="173" customWidth="1"/>
    <col min="6413" max="6413" width="11.42578125" style="173" customWidth="1"/>
    <col min="6414" max="6414" width="44" style="173" customWidth="1"/>
    <col min="6415" max="6666" width="9.140625" style="173"/>
    <col min="6667" max="6667" width="8.85546875" style="173" customWidth="1"/>
    <col min="6668" max="6668" width="91.140625" style="173" customWidth="1"/>
    <col min="6669" max="6669" width="11.42578125" style="173" customWidth="1"/>
    <col min="6670" max="6670" width="44" style="173" customWidth="1"/>
    <col min="6671" max="6922" width="9.140625" style="173"/>
    <col min="6923" max="6923" width="8.85546875" style="173" customWidth="1"/>
    <col min="6924" max="6924" width="91.140625" style="173" customWidth="1"/>
    <col min="6925" max="6925" width="11.42578125" style="173" customWidth="1"/>
    <col min="6926" max="6926" width="44" style="173" customWidth="1"/>
    <col min="6927" max="7178" width="9.140625" style="173"/>
    <col min="7179" max="7179" width="8.85546875" style="173" customWidth="1"/>
    <col min="7180" max="7180" width="91.140625" style="173" customWidth="1"/>
    <col min="7181" max="7181" width="11.42578125" style="173" customWidth="1"/>
    <col min="7182" max="7182" width="44" style="173" customWidth="1"/>
    <col min="7183" max="7434" width="9.140625" style="173"/>
    <col min="7435" max="7435" width="8.85546875" style="173" customWidth="1"/>
    <col min="7436" max="7436" width="91.140625" style="173" customWidth="1"/>
    <col min="7437" max="7437" width="11.42578125" style="173" customWidth="1"/>
    <col min="7438" max="7438" width="44" style="173" customWidth="1"/>
    <col min="7439" max="7690" width="9.140625" style="173"/>
    <col min="7691" max="7691" width="8.85546875" style="173" customWidth="1"/>
    <col min="7692" max="7692" width="91.140625" style="173" customWidth="1"/>
    <col min="7693" max="7693" width="11.42578125" style="173" customWidth="1"/>
    <col min="7694" max="7694" width="44" style="173" customWidth="1"/>
    <col min="7695" max="7946" width="9.140625" style="173"/>
    <col min="7947" max="7947" width="8.85546875" style="173" customWidth="1"/>
    <col min="7948" max="7948" width="91.140625" style="173" customWidth="1"/>
    <col min="7949" max="7949" width="11.42578125" style="173" customWidth="1"/>
    <col min="7950" max="7950" width="44" style="173" customWidth="1"/>
    <col min="7951" max="8202" width="9.140625" style="173"/>
    <col min="8203" max="8203" width="8.85546875" style="173" customWidth="1"/>
    <col min="8204" max="8204" width="91.140625" style="173" customWidth="1"/>
    <col min="8205" max="8205" width="11.42578125" style="173" customWidth="1"/>
    <col min="8206" max="8206" width="44" style="173" customWidth="1"/>
    <col min="8207" max="8458" width="9.140625" style="173"/>
    <col min="8459" max="8459" width="8.85546875" style="173" customWidth="1"/>
    <col min="8460" max="8460" width="91.140625" style="173" customWidth="1"/>
    <col min="8461" max="8461" width="11.42578125" style="173" customWidth="1"/>
    <col min="8462" max="8462" width="44" style="173" customWidth="1"/>
    <col min="8463" max="8714" width="9.140625" style="173"/>
    <col min="8715" max="8715" width="8.85546875" style="173" customWidth="1"/>
    <col min="8716" max="8716" width="91.140625" style="173" customWidth="1"/>
    <col min="8717" max="8717" width="11.42578125" style="173" customWidth="1"/>
    <col min="8718" max="8718" width="44" style="173" customWidth="1"/>
    <col min="8719" max="8970" width="9.140625" style="173"/>
    <col min="8971" max="8971" width="8.85546875" style="173" customWidth="1"/>
    <col min="8972" max="8972" width="91.140625" style="173" customWidth="1"/>
    <col min="8973" max="8973" width="11.42578125" style="173" customWidth="1"/>
    <col min="8974" max="8974" width="44" style="173" customWidth="1"/>
    <col min="8975" max="9226" width="9.140625" style="173"/>
    <col min="9227" max="9227" width="8.85546875" style="173" customWidth="1"/>
    <col min="9228" max="9228" width="91.140625" style="173" customWidth="1"/>
    <col min="9229" max="9229" width="11.42578125" style="173" customWidth="1"/>
    <col min="9230" max="9230" width="44" style="173" customWidth="1"/>
    <col min="9231" max="9482" width="9.140625" style="173"/>
    <col min="9483" max="9483" width="8.85546875" style="173" customWidth="1"/>
    <col min="9484" max="9484" width="91.140625" style="173" customWidth="1"/>
    <col min="9485" max="9485" width="11.42578125" style="173" customWidth="1"/>
    <col min="9486" max="9486" width="44" style="173" customWidth="1"/>
    <col min="9487" max="9738" width="9.140625" style="173"/>
    <col min="9739" max="9739" width="8.85546875" style="173" customWidth="1"/>
    <col min="9740" max="9740" width="91.140625" style="173" customWidth="1"/>
    <col min="9741" max="9741" width="11.42578125" style="173" customWidth="1"/>
    <col min="9742" max="9742" width="44" style="173" customWidth="1"/>
    <col min="9743" max="9994" width="9.140625" style="173"/>
    <col min="9995" max="9995" width="8.85546875" style="173" customWidth="1"/>
    <col min="9996" max="9996" width="91.140625" style="173" customWidth="1"/>
    <col min="9997" max="9997" width="11.42578125" style="173" customWidth="1"/>
    <col min="9998" max="9998" width="44" style="173" customWidth="1"/>
    <col min="9999" max="10250" width="9.140625" style="173"/>
    <col min="10251" max="10251" width="8.85546875" style="173" customWidth="1"/>
    <col min="10252" max="10252" width="91.140625" style="173" customWidth="1"/>
    <col min="10253" max="10253" width="11.42578125" style="173" customWidth="1"/>
    <col min="10254" max="10254" width="44" style="173" customWidth="1"/>
    <col min="10255" max="10506" width="9.140625" style="173"/>
    <col min="10507" max="10507" width="8.85546875" style="173" customWidth="1"/>
    <col min="10508" max="10508" width="91.140625" style="173" customWidth="1"/>
    <col min="10509" max="10509" width="11.42578125" style="173" customWidth="1"/>
    <col min="10510" max="10510" width="44" style="173" customWidth="1"/>
    <col min="10511" max="10762" width="9.140625" style="173"/>
    <col min="10763" max="10763" width="8.85546875" style="173" customWidth="1"/>
    <col min="10764" max="10764" width="91.140625" style="173" customWidth="1"/>
    <col min="10765" max="10765" width="11.42578125" style="173" customWidth="1"/>
    <col min="10766" max="10766" width="44" style="173" customWidth="1"/>
    <col min="10767" max="11018" width="9.140625" style="173"/>
    <col min="11019" max="11019" width="8.85546875" style="173" customWidth="1"/>
    <col min="11020" max="11020" width="91.140625" style="173" customWidth="1"/>
    <col min="11021" max="11021" width="11.42578125" style="173" customWidth="1"/>
    <col min="11022" max="11022" width="44" style="173" customWidth="1"/>
    <col min="11023" max="11274" width="9.140625" style="173"/>
    <col min="11275" max="11275" width="8.85546875" style="173" customWidth="1"/>
    <col min="11276" max="11276" width="91.140625" style="173" customWidth="1"/>
    <col min="11277" max="11277" width="11.42578125" style="173" customWidth="1"/>
    <col min="11278" max="11278" width="44" style="173" customWidth="1"/>
    <col min="11279" max="11530" width="9.140625" style="173"/>
    <col min="11531" max="11531" width="8.85546875" style="173" customWidth="1"/>
    <col min="11532" max="11532" width="91.140625" style="173" customWidth="1"/>
    <col min="11533" max="11533" width="11.42578125" style="173" customWidth="1"/>
    <col min="11534" max="11534" width="44" style="173" customWidth="1"/>
    <col min="11535" max="11786" width="9.140625" style="173"/>
    <col min="11787" max="11787" width="8.85546875" style="173" customWidth="1"/>
    <col min="11788" max="11788" width="91.140625" style="173" customWidth="1"/>
    <col min="11789" max="11789" width="11.42578125" style="173" customWidth="1"/>
    <col min="11790" max="11790" width="44" style="173" customWidth="1"/>
    <col min="11791" max="12042" width="9.140625" style="173"/>
    <col min="12043" max="12043" width="8.85546875" style="173" customWidth="1"/>
    <col min="12044" max="12044" width="91.140625" style="173" customWidth="1"/>
    <col min="12045" max="12045" width="11.42578125" style="173" customWidth="1"/>
    <col min="12046" max="12046" width="44" style="173" customWidth="1"/>
    <col min="12047" max="12298" width="9.140625" style="173"/>
    <col min="12299" max="12299" width="8.85546875" style="173" customWidth="1"/>
    <col min="12300" max="12300" width="91.140625" style="173" customWidth="1"/>
    <col min="12301" max="12301" width="11.42578125" style="173" customWidth="1"/>
    <col min="12302" max="12302" width="44" style="173" customWidth="1"/>
    <col min="12303" max="12554" width="9.140625" style="173"/>
    <col min="12555" max="12555" width="8.85546875" style="173" customWidth="1"/>
    <col min="12556" max="12556" width="91.140625" style="173" customWidth="1"/>
    <col min="12557" max="12557" width="11.42578125" style="173" customWidth="1"/>
    <col min="12558" max="12558" width="44" style="173" customWidth="1"/>
    <col min="12559" max="12810" width="9.140625" style="173"/>
    <col min="12811" max="12811" width="8.85546875" style="173" customWidth="1"/>
    <col min="12812" max="12812" width="91.140625" style="173" customWidth="1"/>
    <col min="12813" max="12813" width="11.42578125" style="173" customWidth="1"/>
    <col min="12814" max="12814" width="44" style="173" customWidth="1"/>
    <col min="12815" max="13066" width="9.140625" style="173"/>
    <col min="13067" max="13067" width="8.85546875" style="173" customWidth="1"/>
    <col min="13068" max="13068" width="91.140625" style="173" customWidth="1"/>
    <col min="13069" max="13069" width="11.42578125" style="173" customWidth="1"/>
    <col min="13070" max="13070" width="44" style="173" customWidth="1"/>
    <col min="13071" max="13322" width="9.140625" style="173"/>
    <col min="13323" max="13323" width="8.85546875" style="173" customWidth="1"/>
    <col min="13324" max="13324" width="91.140625" style="173" customWidth="1"/>
    <col min="13325" max="13325" width="11.42578125" style="173" customWidth="1"/>
    <col min="13326" max="13326" width="44" style="173" customWidth="1"/>
    <col min="13327" max="13578" width="9.140625" style="173"/>
    <col min="13579" max="13579" width="8.85546875" style="173" customWidth="1"/>
    <col min="13580" max="13580" width="91.140625" style="173" customWidth="1"/>
    <col min="13581" max="13581" width="11.42578125" style="173" customWidth="1"/>
    <col min="13582" max="13582" width="44" style="173" customWidth="1"/>
    <col min="13583" max="13834" width="9.140625" style="173"/>
    <col min="13835" max="13835" width="8.85546875" style="173" customWidth="1"/>
    <col min="13836" max="13836" width="91.140625" style="173" customWidth="1"/>
    <col min="13837" max="13837" width="11.42578125" style="173" customWidth="1"/>
    <col min="13838" max="13838" width="44" style="173" customWidth="1"/>
    <col min="13839" max="14090" width="9.140625" style="173"/>
    <col min="14091" max="14091" width="8.85546875" style="173" customWidth="1"/>
    <col min="14092" max="14092" width="91.140625" style="173" customWidth="1"/>
    <col min="14093" max="14093" width="11.42578125" style="173" customWidth="1"/>
    <col min="14094" max="14094" width="44" style="173" customWidth="1"/>
    <col min="14095" max="14346" width="9.140625" style="173"/>
    <col min="14347" max="14347" width="8.85546875" style="173" customWidth="1"/>
    <col min="14348" max="14348" width="91.140625" style="173" customWidth="1"/>
    <col min="14349" max="14349" width="11.42578125" style="173" customWidth="1"/>
    <col min="14350" max="14350" width="44" style="173" customWidth="1"/>
    <col min="14351" max="14602" width="9.140625" style="173"/>
    <col min="14603" max="14603" width="8.85546875" style="173" customWidth="1"/>
    <col min="14604" max="14604" width="91.140625" style="173" customWidth="1"/>
    <col min="14605" max="14605" width="11.42578125" style="173" customWidth="1"/>
    <col min="14606" max="14606" width="44" style="173" customWidth="1"/>
    <col min="14607" max="14858" width="9.140625" style="173"/>
    <col min="14859" max="14859" width="8.85546875" style="173" customWidth="1"/>
    <col min="14860" max="14860" width="91.140625" style="173" customWidth="1"/>
    <col min="14861" max="14861" width="11.42578125" style="173" customWidth="1"/>
    <col min="14862" max="14862" width="44" style="173" customWidth="1"/>
    <col min="14863" max="15114" width="9.140625" style="173"/>
    <col min="15115" max="15115" width="8.85546875" style="173" customWidth="1"/>
    <col min="15116" max="15116" width="91.140625" style="173" customWidth="1"/>
    <col min="15117" max="15117" width="11.42578125" style="173" customWidth="1"/>
    <col min="15118" max="15118" width="44" style="173" customWidth="1"/>
    <col min="15119" max="15370" width="9.140625" style="173"/>
    <col min="15371" max="15371" width="8.85546875" style="173" customWidth="1"/>
    <col min="15372" max="15372" width="91.140625" style="173" customWidth="1"/>
    <col min="15373" max="15373" width="11.42578125" style="173" customWidth="1"/>
    <col min="15374" max="15374" width="44" style="173" customWidth="1"/>
    <col min="15375" max="15626" width="9.140625" style="173"/>
    <col min="15627" max="15627" width="8.85546875" style="173" customWidth="1"/>
    <col min="15628" max="15628" width="91.140625" style="173" customWidth="1"/>
    <col min="15629" max="15629" width="11.42578125" style="173" customWidth="1"/>
    <col min="15630" max="15630" width="44" style="173" customWidth="1"/>
    <col min="15631" max="15882" width="9.140625" style="173"/>
    <col min="15883" max="15883" width="8.85546875" style="173" customWidth="1"/>
    <col min="15884" max="15884" width="91.140625" style="173" customWidth="1"/>
    <col min="15885" max="15885" width="11.42578125" style="173" customWidth="1"/>
    <col min="15886" max="15886" width="44" style="173" customWidth="1"/>
    <col min="15887" max="16138" width="9.140625" style="173"/>
    <col min="16139" max="16139" width="8.85546875" style="173" customWidth="1"/>
    <col min="16140" max="16140" width="91.140625" style="173" customWidth="1"/>
    <col min="16141" max="16141" width="11.42578125" style="173" customWidth="1"/>
    <col min="16142" max="16142" width="44" style="173" customWidth="1"/>
    <col min="16143" max="16384" width="9.140625" style="173"/>
  </cols>
  <sheetData>
    <row r="1" spans="1:21">
      <c r="C1" s="399"/>
      <c r="D1" s="165"/>
      <c r="E1" s="166"/>
      <c r="F1" s="167"/>
      <c r="G1" s="168"/>
      <c r="H1" s="163"/>
      <c r="I1" s="169"/>
      <c r="J1" s="169"/>
      <c r="K1" s="170"/>
    </row>
    <row r="2" spans="1:21">
      <c r="A2" s="420"/>
      <c r="B2" s="2"/>
      <c r="C2" s="400" t="s">
        <v>78</v>
      </c>
      <c r="D2" s="174"/>
      <c r="E2" s="175"/>
      <c r="F2" s="176"/>
      <c r="G2" s="177"/>
      <c r="H2" s="2"/>
      <c r="I2" s="178"/>
      <c r="J2" s="178"/>
      <c r="K2" s="179"/>
      <c r="L2" s="54"/>
    </row>
    <row r="3" spans="1:21">
      <c r="A3" s="420"/>
      <c r="B3" s="2"/>
      <c r="C3" s="400" t="s">
        <v>79</v>
      </c>
      <c r="D3" s="174"/>
      <c r="E3" s="2"/>
      <c r="F3" s="176"/>
      <c r="G3" s="177"/>
      <c r="H3" s="2"/>
      <c r="I3" s="178"/>
      <c r="J3" s="178"/>
      <c r="K3" s="179"/>
      <c r="L3" s="54"/>
    </row>
    <row r="4" spans="1:21" s="184" customFormat="1" ht="21.6">
      <c r="A4" s="421"/>
      <c r="B4" s="180"/>
      <c r="C4" s="181" t="s">
        <v>80</v>
      </c>
      <c r="D4" s="739" t="s">
        <v>81</v>
      </c>
      <c r="E4" s="740"/>
      <c r="F4" s="740"/>
      <c r="G4" s="740"/>
      <c r="H4" s="740"/>
      <c r="I4" s="740"/>
      <c r="J4" s="740"/>
      <c r="K4" s="741"/>
      <c r="L4" s="182"/>
      <c r="M4" s="183"/>
      <c r="N4" s="183"/>
      <c r="O4" s="183"/>
    </row>
    <row r="5" spans="1:21" ht="21.6">
      <c r="D5" s="165"/>
      <c r="E5" s="180"/>
      <c r="F5" s="185"/>
      <c r="G5" s="186"/>
      <c r="H5" s="163"/>
      <c r="I5" s="169"/>
      <c r="J5" s="169"/>
      <c r="K5" s="170"/>
    </row>
    <row r="6" spans="1:21">
      <c r="A6" s="422"/>
      <c r="B6" s="433"/>
      <c r="C6" s="324"/>
      <c r="D6" s="358"/>
      <c r="E6" s="359"/>
      <c r="F6" s="360"/>
      <c r="G6" s="360"/>
      <c r="H6" s="361"/>
      <c r="I6" s="590"/>
      <c r="J6" s="187"/>
      <c r="K6" s="188"/>
      <c r="L6" s="189"/>
      <c r="M6" s="190"/>
      <c r="N6" s="190"/>
      <c r="O6" s="190"/>
      <c r="P6" s="191"/>
      <c r="Q6" s="191"/>
      <c r="R6" s="191"/>
      <c r="S6" s="191"/>
      <c r="T6" s="191"/>
      <c r="U6" s="191"/>
    </row>
    <row r="7" spans="1:21">
      <c r="A7" s="422"/>
      <c r="B7" s="433"/>
      <c r="C7" s="324"/>
      <c r="D7" s="362" t="s">
        <v>57</v>
      </c>
      <c r="E7" s="363"/>
      <c r="F7" s="364"/>
      <c r="G7" s="365">
        <v>2.2200000000000002</v>
      </c>
      <c r="H7" s="366"/>
      <c r="I7" s="367"/>
      <c r="J7" s="187"/>
      <c r="K7" s="188"/>
      <c r="L7" s="189"/>
      <c r="M7" s="190"/>
      <c r="N7" s="190"/>
      <c r="O7" s="190"/>
      <c r="P7" s="191"/>
      <c r="Q7" s="191"/>
      <c r="R7" s="191"/>
      <c r="S7" s="191"/>
      <c r="T7" s="191"/>
      <c r="U7" s="191"/>
    </row>
    <row r="8" spans="1:21">
      <c r="A8" s="422"/>
      <c r="B8" s="433"/>
      <c r="C8" s="324"/>
      <c r="D8" s="368"/>
      <c r="E8" s="363"/>
      <c r="F8" s="364"/>
      <c r="G8" s="369"/>
      <c r="H8" s="366"/>
      <c r="I8" s="367"/>
      <c r="J8" s="187"/>
      <c r="K8" s="188"/>
      <c r="L8" s="189"/>
      <c r="M8" s="190"/>
      <c r="N8" s="190"/>
      <c r="O8" s="190"/>
      <c r="P8" s="191"/>
      <c r="Q8" s="191"/>
      <c r="R8" s="191"/>
      <c r="S8" s="191"/>
      <c r="T8" s="191"/>
      <c r="U8" s="191"/>
    </row>
    <row r="9" spans="1:21">
      <c r="A9" s="422"/>
      <c r="B9" s="433"/>
      <c r="C9" s="324"/>
      <c r="D9" s="370" t="s">
        <v>58</v>
      </c>
      <c r="E9" s="371"/>
      <c r="F9" s="372"/>
      <c r="G9" s="373">
        <v>0.85</v>
      </c>
      <c r="H9" s="374"/>
      <c r="I9" s="375"/>
      <c r="J9" s="187"/>
      <c r="K9" s="188"/>
      <c r="L9" s="189"/>
      <c r="M9" s="190"/>
      <c r="N9" s="190"/>
      <c r="O9" s="190"/>
      <c r="P9" s="191"/>
      <c r="Q9" s="191"/>
      <c r="R9" s="191"/>
      <c r="S9" s="191"/>
      <c r="T9" s="191"/>
      <c r="U9" s="191"/>
    </row>
    <row r="10" spans="1:21" s="194" customFormat="1" ht="27" customHeight="1">
      <c r="A10" s="736" t="s">
        <v>82</v>
      </c>
      <c r="B10" s="736"/>
      <c r="C10" s="351" t="s">
        <v>83</v>
      </c>
      <c r="D10" s="352" t="s">
        <v>84</v>
      </c>
      <c r="E10" s="737" t="s">
        <v>85</v>
      </c>
      <c r="F10" s="738"/>
      <c r="G10" s="353" t="s">
        <v>86</v>
      </c>
      <c r="H10" s="354"/>
      <c r="I10" s="355" t="s">
        <v>87</v>
      </c>
      <c r="J10" s="355" t="s">
        <v>88</v>
      </c>
      <c r="K10" s="356" t="s">
        <v>89</v>
      </c>
      <c r="L10" s="357"/>
      <c r="M10" s="192"/>
      <c r="N10" s="192"/>
      <c r="O10" s="192"/>
      <c r="P10" s="193"/>
      <c r="Q10" s="193"/>
      <c r="R10" s="193"/>
      <c r="S10" s="193"/>
      <c r="T10" s="193"/>
      <c r="U10" s="193"/>
    </row>
    <row r="11" spans="1:21" s="194" customFormat="1" ht="27" customHeight="1">
      <c r="A11" s="423"/>
      <c r="B11" s="434"/>
      <c r="C11" s="301"/>
      <c r="D11" s="302"/>
      <c r="E11" s="303"/>
      <c r="F11" s="304"/>
      <c r="G11" s="301"/>
      <c r="H11" s="305"/>
      <c r="I11" s="306" t="s">
        <v>90</v>
      </c>
      <c r="J11" s="307" t="s">
        <v>90</v>
      </c>
      <c r="K11" s="307" t="s">
        <v>90</v>
      </c>
      <c r="L11" s="195"/>
      <c r="M11" s="192"/>
      <c r="N11" s="192"/>
      <c r="O11" s="192"/>
      <c r="P11" s="193"/>
      <c r="Q11" s="193"/>
      <c r="R11" s="193"/>
      <c r="S11" s="193"/>
      <c r="T11" s="193"/>
      <c r="U11" s="193"/>
    </row>
    <row r="12" spans="1:21" s="194" customFormat="1" ht="15.95" customHeight="1">
      <c r="A12" s="423"/>
      <c r="B12" s="434"/>
      <c r="C12" s="308" t="s">
        <v>91</v>
      </c>
      <c r="D12" s="309"/>
      <c r="E12" s="310"/>
      <c r="F12" s="311">
        <v>3041</v>
      </c>
      <c r="G12" s="312" t="s">
        <v>92</v>
      </c>
      <c r="H12" s="313"/>
      <c r="I12" s="314"/>
      <c r="J12" s="315"/>
      <c r="K12" s="316"/>
      <c r="L12" s="197"/>
      <c r="M12" s="192"/>
      <c r="N12" s="192"/>
      <c r="O12" s="192"/>
      <c r="P12" s="193"/>
      <c r="Q12" s="193"/>
      <c r="R12" s="193"/>
      <c r="S12" s="193"/>
      <c r="T12" s="193"/>
      <c r="U12" s="193"/>
    </row>
    <row r="13" spans="1:21" s="194" customFormat="1" ht="15.95" customHeight="1">
      <c r="A13" s="424"/>
      <c r="B13" s="434"/>
      <c r="C13" s="317"/>
      <c r="D13" s="318"/>
      <c r="E13" s="319"/>
      <c r="F13" s="320"/>
      <c r="G13" s="301"/>
      <c r="H13" s="305"/>
      <c r="I13" s="321"/>
      <c r="J13" s="316"/>
      <c r="K13" s="316"/>
      <c r="L13" s="195"/>
      <c r="M13" s="192"/>
      <c r="N13" s="192"/>
      <c r="O13" s="192"/>
      <c r="P13" s="193"/>
      <c r="Q13" s="193"/>
      <c r="R13" s="193"/>
      <c r="S13" s="193"/>
      <c r="T13" s="193"/>
      <c r="U13" s="193"/>
    </row>
    <row r="14" spans="1:21" s="194" customFormat="1" ht="11.45" customHeight="1">
      <c r="A14" s="424"/>
      <c r="B14" s="434"/>
      <c r="C14" s="322"/>
      <c r="D14" s="318"/>
      <c r="E14" s="319"/>
      <c r="F14" s="320"/>
      <c r="G14" s="301"/>
      <c r="H14" s="305"/>
      <c r="I14" s="321"/>
      <c r="J14" s="316"/>
      <c r="K14" s="316"/>
      <c r="L14" s="195"/>
      <c r="M14" s="192"/>
      <c r="N14" s="192"/>
      <c r="O14" s="192"/>
      <c r="P14" s="193"/>
      <c r="Q14" s="193"/>
      <c r="R14" s="193"/>
      <c r="S14" s="193"/>
      <c r="T14" s="193"/>
      <c r="U14" s="193"/>
    </row>
    <row r="15" spans="1:21" ht="15.95" customHeight="1" thickBot="1">
      <c r="A15" s="425">
        <v>0</v>
      </c>
      <c r="B15" s="435"/>
      <c r="C15" s="255" t="s">
        <v>93</v>
      </c>
      <c r="D15" s="256"/>
      <c r="E15" s="257"/>
      <c r="F15" s="258"/>
      <c r="G15" s="259"/>
      <c r="H15" s="260"/>
      <c r="I15" s="591"/>
      <c r="J15" s="261"/>
      <c r="K15" s="262">
        <f>SUM(J19:J31)</f>
        <v>1861500</v>
      </c>
      <c r="L15" s="106"/>
      <c r="M15" s="190"/>
      <c r="N15" s="190"/>
      <c r="O15" s="190"/>
      <c r="P15" s="191"/>
      <c r="Q15" s="191"/>
      <c r="R15" s="191"/>
      <c r="S15" s="191"/>
      <c r="T15" s="191"/>
      <c r="U15" s="191"/>
    </row>
    <row r="16" spans="1:21" ht="15.95" customHeight="1" thickTop="1">
      <c r="A16" s="425"/>
      <c r="B16" s="435"/>
      <c r="C16" s="263"/>
      <c r="D16" s="264"/>
      <c r="E16" s="265"/>
      <c r="F16" s="258"/>
      <c r="G16" s="259"/>
      <c r="H16" s="260"/>
      <c r="I16" s="591"/>
      <c r="J16" s="261"/>
      <c r="K16" s="261"/>
      <c r="L16" s="106"/>
      <c r="M16" s="190"/>
      <c r="N16" s="190"/>
      <c r="O16" s="190"/>
      <c r="P16" s="191"/>
      <c r="Q16" s="191"/>
      <c r="R16" s="191"/>
      <c r="S16" s="191"/>
      <c r="T16" s="191"/>
      <c r="U16" s="191"/>
    </row>
    <row r="17" spans="1:21" ht="15.95" customHeight="1">
      <c r="A17" s="425"/>
      <c r="B17" s="435"/>
      <c r="C17" s="263"/>
      <c r="D17" s="264"/>
      <c r="E17" s="265"/>
      <c r="F17" s="258"/>
      <c r="G17" s="259"/>
      <c r="H17" s="260"/>
      <c r="I17" s="591"/>
      <c r="J17" s="261"/>
      <c r="K17" s="261"/>
      <c r="L17" s="106"/>
      <c r="M17" s="190"/>
      <c r="N17" s="190"/>
      <c r="O17" s="190"/>
      <c r="P17" s="191"/>
      <c r="Q17" s="191"/>
      <c r="R17" s="191"/>
      <c r="S17" s="191"/>
      <c r="T17" s="191"/>
      <c r="U17" s="191"/>
    </row>
    <row r="18" spans="1:21" ht="15.95" customHeight="1">
      <c r="A18" s="426"/>
      <c r="B18" s="436"/>
      <c r="C18" s="266" t="s">
        <v>94</v>
      </c>
      <c r="D18" s="267"/>
      <c r="E18" s="265"/>
      <c r="F18" s="268">
        <v>3041</v>
      </c>
      <c r="G18" s="269" t="s">
        <v>91</v>
      </c>
      <c r="H18" s="270"/>
      <c r="I18" s="271"/>
      <c r="J18" s="272"/>
      <c r="K18" s="272"/>
      <c r="L18" s="103"/>
      <c r="M18" s="190"/>
      <c r="N18" s="190"/>
      <c r="O18" s="190"/>
      <c r="P18" s="191"/>
      <c r="Q18" s="191"/>
      <c r="R18" s="191"/>
      <c r="S18" s="191"/>
      <c r="T18" s="191"/>
      <c r="U18" s="191"/>
    </row>
    <row r="19" spans="1:21" ht="24" customHeight="1">
      <c r="A19" s="426"/>
      <c r="B19" s="436"/>
      <c r="C19" s="273" t="s">
        <v>95</v>
      </c>
      <c r="D19" s="267"/>
      <c r="E19" s="274"/>
      <c r="F19" s="268"/>
      <c r="G19" s="275"/>
      <c r="H19" s="270"/>
      <c r="I19" s="271">
        <f>500</f>
        <v>500</v>
      </c>
      <c r="J19" s="272">
        <f>F18*I19</f>
        <v>1520500</v>
      </c>
      <c r="K19" s="272"/>
      <c r="L19" s="103"/>
      <c r="M19" s="190"/>
      <c r="N19" s="190"/>
      <c r="O19" s="190"/>
      <c r="P19" s="191"/>
      <c r="Q19" s="191"/>
      <c r="R19" s="191"/>
      <c r="S19" s="191"/>
      <c r="T19" s="191"/>
      <c r="U19" s="191"/>
    </row>
    <row r="20" spans="1:21">
      <c r="A20" s="426"/>
      <c r="B20" s="436"/>
      <c r="C20" s="266"/>
      <c r="D20" s="267"/>
      <c r="E20" s="265"/>
      <c r="F20" s="276"/>
      <c r="G20" s="269"/>
      <c r="H20" s="270"/>
      <c r="I20" s="271"/>
      <c r="J20" s="272"/>
      <c r="K20" s="272"/>
      <c r="L20" s="103"/>
      <c r="M20" s="190"/>
      <c r="N20" s="190"/>
      <c r="O20" s="190"/>
      <c r="P20" s="191"/>
      <c r="Q20" s="191"/>
      <c r="R20" s="191"/>
      <c r="S20" s="191"/>
      <c r="T20" s="191"/>
      <c r="U20" s="191"/>
    </row>
    <row r="21" spans="1:21">
      <c r="A21" s="426"/>
      <c r="B21" s="437"/>
      <c r="C21" s="277" t="s">
        <v>96</v>
      </c>
      <c r="D21" s="278"/>
      <c r="E21" s="279"/>
      <c r="F21" s="280"/>
      <c r="G21" s="281"/>
      <c r="H21" s="282"/>
      <c r="I21" s="283"/>
      <c r="J21" s="284"/>
      <c r="K21" s="272"/>
      <c r="L21" s="103"/>
      <c r="M21" s="190"/>
      <c r="N21" s="190"/>
      <c r="O21" s="190"/>
      <c r="P21" s="191"/>
      <c r="Q21" s="191"/>
      <c r="R21" s="191"/>
      <c r="S21" s="191"/>
      <c r="T21" s="191"/>
      <c r="U21" s="191"/>
    </row>
    <row r="22" spans="1:21">
      <c r="A22" s="427"/>
      <c r="B22" s="437"/>
      <c r="C22" s="285" t="s">
        <v>97</v>
      </c>
      <c r="D22" s="278"/>
      <c r="E22" s="279"/>
      <c r="F22" s="586">
        <v>88</v>
      </c>
      <c r="G22" s="281" t="s">
        <v>98</v>
      </c>
      <c r="H22" s="282"/>
      <c r="I22" s="283">
        <f>2000</f>
        <v>2000</v>
      </c>
      <c r="J22" s="284">
        <f>F22*I22</f>
        <v>176000</v>
      </c>
      <c r="K22" s="272"/>
      <c r="L22" s="103"/>
      <c r="M22" s="190"/>
      <c r="N22" s="190"/>
      <c r="O22" s="190"/>
      <c r="P22" s="191"/>
      <c r="Q22" s="191"/>
      <c r="R22" s="191"/>
      <c r="S22" s="191"/>
      <c r="T22" s="191"/>
      <c r="U22" s="191"/>
    </row>
    <row r="23" spans="1:21">
      <c r="A23" s="427"/>
      <c r="B23" s="437"/>
      <c r="C23" s="286"/>
      <c r="D23" s="278"/>
      <c r="E23" s="279"/>
      <c r="F23" s="280"/>
      <c r="G23" s="281"/>
      <c r="H23" s="282"/>
      <c r="I23" s="283"/>
      <c r="J23" s="284"/>
      <c r="K23" s="272"/>
      <c r="L23" s="103"/>
      <c r="M23" s="190"/>
      <c r="N23" s="190"/>
      <c r="O23" s="190"/>
      <c r="P23" s="191"/>
      <c r="Q23" s="191"/>
      <c r="R23" s="191"/>
      <c r="S23" s="191"/>
      <c r="T23" s="191"/>
      <c r="U23" s="191"/>
    </row>
    <row r="24" spans="1:21">
      <c r="A24" s="426"/>
      <c r="B24" s="437"/>
      <c r="C24" s="277" t="s">
        <v>99</v>
      </c>
      <c r="D24" s="278"/>
      <c r="E24" s="279"/>
      <c r="F24" s="280"/>
      <c r="G24" s="281"/>
      <c r="H24" s="282"/>
      <c r="I24" s="283"/>
      <c r="J24" s="284"/>
      <c r="K24" s="272"/>
      <c r="L24" s="103"/>
      <c r="M24" s="190"/>
      <c r="N24" s="190"/>
      <c r="O24" s="190"/>
      <c r="P24" s="191"/>
      <c r="Q24" s="191"/>
      <c r="R24" s="191"/>
      <c r="S24" s="191"/>
      <c r="T24" s="191"/>
      <c r="U24" s="191"/>
    </row>
    <row r="25" spans="1:21">
      <c r="A25" s="427"/>
      <c r="B25" s="437"/>
      <c r="C25" s="285" t="s">
        <v>100</v>
      </c>
      <c r="D25" s="278"/>
      <c r="E25" s="279"/>
      <c r="F25" s="280">
        <v>50</v>
      </c>
      <c r="G25" s="281" t="s">
        <v>101</v>
      </c>
      <c r="H25" s="282"/>
      <c r="I25" s="283">
        <f>1500</f>
        <v>1500</v>
      </c>
      <c r="J25" s="284">
        <f>F25*I25</f>
        <v>75000</v>
      </c>
      <c r="K25" s="272"/>
      <c r="L25" s="103"/>
      <c r="M25" s="190"/>
      <c r="N25" s="190"/>
      <c r="O25" s="190"/>
      <c r="P25" s="191"/>
      <c r="Q25" s="191"/>
      <c r="R25" s="191"/>
      <c r="S25" s="191"/>
      <c r="T25" s="191"/>
      <c r="U25" s="191"/>
    </row>
    <row r="26" spans="1:21">
      <c r="A26" s="427"/>
      <c r="B26" s="437"/>
      <c r="C26" s="286"/>
      <c r="D26" s="278"/>
      <c r="E26" s="279"/>
      <c r="F26" s="280"/>
      <c r="G26" s="281"/>
      <c r="H26" s="282"/>
      <c r="I26" s="283"/>
      <c r="J26" s="284"/>
      <c r="K26" s="284"/>
      <c r="L26" s="103"/>
      <c r="M26" s="190"/>
      <c r="N26" s="190"/>
      <c r="O26" s="190"/>
      <c r="P26" s="191"/>
      <c r="Q26" s="191"/>
      <c r="R26" s="191"/>
      <c r="S26" s="191"/>
      <c r="T26" s="191"/>
      <c r="U26" s="191"/>
    </row>
    <row r="27" spans="1:21">
      <c r="A27" s="426"/>
      <c r="B27" s="437"/>
      <c r="C27" s="287" t="s">
        <v>102</v>
      </c>
      <c r="D27" s="278"/>
      <c r="E27" s="279"/>
      <c r="F27" s="280"/>
      <c r="G27" s="281" t="s">
        <v>101</v>
      </c>
      <c r="H27" s="282"/>
      <c r="I27" s="283"/>
      <c r="J27" s="288"/>
      <c r="K27" s="284"/>
      <c r="L27" s="103"/>
      <c r="M27" s="190"/>
      <c r="N27" s="190"/>
      <c r="O27" s="190"/>
      <c r="P27" s="191"/>
      <c r="Q27" s="191"/>
      <c r="R27" s="191"/>
      <c r="S27" s="191"/>
      <c r="T27" s="191"/>
      <c r="U27" s="191"/>
    </row>
    <row r="28" spans="1:21" ht="21" customHeight="1">
      <c r="A28" s="427"/>
      <c r="B28" s="437"/>
      <c r="C28" s="289" t="s">
        <v>103</v>
      </c>
      <c r="D28" s="290"/>
      <c r="E28" s="279"/>
      <c r="F28" s="280">
        <v>200</v>
      </c>
      <c r="G28" s="281"/>
      <c r="H28" s="282"/>
      <c r="I28" s="283">
        <f>300</f>
        <v>300</v>
      </c>
      <c r="J28" s="284">
        <f>F28*I28</f>
        <v>60000</v>
      </c>
      <c r="K28" s="272"/>
      <c r="L28" s="103"/>
      <c r="M28" s="190"/>
      <c r="N28" s="190"/>
      <c r="O28" s="190"/>
      <c r="P28" s="191"/>
      <c r="Q28" s="191"/>
      <c r="R28" s="191"/>
      <c r="S28" s="191"/>
      <c r="T28" s="191"/>
      <c r="U28" s="191"/>
    </row>
    <row r="29" spans="1:21">
      <c r="A29" s="427"/>
      <c r="B29" s="437"/>
      <c r="C29" s="289" t="s">
        <v>104</v>
      </c>
      <c r="D29" s="290"/>
      <c r="E29" s="279"/>
      <c r="F29" s="587">
        <v>200</v>
      </c>
      <c r="G29" s="281"/>
      <c r="H29" s="282"/>
      <c r="I29" s="283">
        <f>150</f>
        <v>150</v>
      </c>
      <c r="J29" s="284">
        <f>F29*I29</f>
        <v>30000</v>
      </c>
      <c r="K29" s="272"/>
      <c r="L29" s="103"/>
      <c r="M29" s="190"/>
      <c r="N29" s="190"/>
      <c r="O29" s="190"/>
      <c r="P29" s="191"/>
      <c r="Q29" s="191"/>
      <c r="R29" s="191"/>
      <c r="S29" s="191"/>
      <c r="T29" s="191"/>
      <c r="U29" s="191"/>
    </row>
    <row r="30" spans="1:21">
      <c r="A30" s="427"/>
      <c r="B30" s="437"/>
      <c r="C30" s="289"/>
      <c r="D30" s="290"/>
      <c r="E30" s="279"/>
      <c r="F30" s="280"/>
      <c r="G30" s="281"/>
      <c r="H30" s="282"/>
      <c r="I30" s="283"/>
      <c r="J30" s="284"/>
      <c r="K30" s="291"/>
      <c r="L30" s="103"/>
      <c r="M30" s="190"/>
      <c r="N30" s="190"/>
      <c r="O30" s="190"/>
      <c r="P30" s="191"/>
      <c r="Q30" s="191"/>
      <c r="R30" s="191"/>
      <c r="S30" s="191"/>
      <c r="T30" s="191"/>
      <c r="U30" s="191"/>
    </row>
    <row r="31" spans="1:21">
      <c r="A31" s="427"/>
      <c r="B31" s="437"/>
      <c r="C31" s="292"/>
      <c r="D31" s="293"/>
      <c r="E31" s="294"/>
      <c r="F31" s="295"/>
      <c r="G31" s="296"/>
      <c r="H31" s="297"/>
      <c r="I31" s="298"/>
      <c r="J31" s="299"/>
      <c r="K31" s="300"/>
      <c r="L31" s="103"/>
      <c r="M31" s="190"/>
      <c r="N31" s="190"/>
      <c r="O31" s="190"/>
      <c r="P31" s="191"/>
      <c r="Q31" s="191"/>
      <c r="R31" s="191"/>
      <c r="S31" s="191"/>
      <c r="T31" s="191"/>
      <c r="U31" s="191"/>
    </row>
    <row r="32" spans="1:21">
      <c r="A32" s="428"/>
      <c r="B32" s="438"/>
      <c r="C32" s="162"/>
      <c r="D32" s="153"/>
      <c r="E32" s="149"/>
      <c r="F32" s="157"/>
      <c r="G32" s="156"/>
      <c r="H32" s="150"/>
      <c r="I32" s="151"/>
      <c r="J32" s="152"/>
      <c r="K32" s="154"/>
      <c r="L32" s="103"/>
      <c r="M32" s="190"/>
      <c r="N32" s="190"/>
      <c r="O32" s="190"/>
      <c r="P32" s="191"/>
      <c r="Q32" s="191"/>
      <c r="R32" s="191"/>
      <c r="S32" s="191"/>
      <c r="T32" s="191"/>
      <c r="U32" s="191"/>
    </row>
    <row r="33" spans="1:21" ht="13.9" thickBot="1">
      <c r="A33" s="429">
        <v>1</v>
      </c>
      <c r="B33" s="438">
        <v>1</v>
      </c>
      <c r="C33" s="237" t="s">
        <v>105</v>
      </c>
      <c r="D33" s="153"/>
      <c r="E33" s="238"/>
      <c r="F33" s="157"/>
      <c r="G33" s="156"/>
      <c r="H33" s="150"/>
      <c r="I33" s="151"/>
      <c r="J33" s="152"/>
      <c r="K33" s="239">
        <f>SUM(J33:J47)</f>
        <v>964885.69351808366</v>
      </c>
      <c r="L33" s="103"/>
      <c r="M33" s="190"/>
      <c r="N33" s="190"/>
      <c r="O33" s="190"/>
      <c r="P33" s="191"/>
      <c r="Q33" s="191"/>
      <c r="R33" s="191"/>
      <c r="S33" s="191"/>
      <c r="T33" s="191"/>
      <c r="U33" s="191"/>
    </row>
    <row r="34" spans="1:21" ht="13.9" thickTop="1">
      <c r="A34" s="429">
        <v>1.1000000000000001</v>
      </c>
      <c r="B34" s="438"/>
      <c r="C34" s="379" t="s">
        <v>106</v>
      </c>
      <c r="D34" s="376"/>
      <c r="E34" s="241"/>
      <c r="F34" s="242"/>
      <c r="G34" s="377"/>
      <c r="H34" s="150"/>
      <c r="I34" s="151"/>
      <c r="J34" s="152"/>
      <c r="K34" s="154"/>
      <c r="L34" s="103"/>
      <c r="M34" s="190"/>
      <c r="N34" s="190"/>
      <c r="O34" s="190"/>
      <c r="P34" s="191"/>
      <c r="Q34" s="191"/>
      <c r="R34" s="191"/>
      <c r="S34" s="191"/>
      <c r="T34" s="191"/>
      <c r="U34" s="191"/>
    </row>
    <row r="35" spans="1:21">
      <c r="A35" s="429"/>
      <c r="B35" s="438"/>
      <c r="C35" s="323"/>
      <c r="D35" s="376"/>
      <c r="E35" s="241"/>
      <c r="F35" s="242"/>
      <c r="G35" s="377"/>
      <c r="H35" s="150"/>
      <c r="I35" s="151"/>
      <c r="J35" s="152"/>
      <c r="K35" s="154"/>
      <c r="L35" s="103"/>
      <c r="M35" s="190"/>
      <c r="N35" s="190"/>
      <c r="O35" s="190"/>
      <c r="P35" s="191"/>
      <c r="Q35" s="191"/>
      <c r="R35" s="191"/>
      <c r="S35" s="191"/>
      <c r="T35" s="191"/>
      <c r="U35" s="191"/>
    </row>
    <row r="36" spans="1:21">
      <c r="A36" s="429"/>
      <c r="B36" s="438"/>
      <c r="C36" s="240" t="s">
        <v>107</v>
      </c>
      <c r="D36" s="153"/>
      <c r="E36" s="238"/>
      <c r="F36" s="157" t="s">
        <v>108</v>
      </c>
      <c r="G36" s="156"/>
      <c r="H36" s="150"/>
      <c r="I36" s="151">
        <v>40000</v>
      </c>
      <c r="J36" s="152">
        <f>I36</f>
        <v>40000</v>
      </c>
      <c r="K36" s="154"/>
      <c r="L36" s="350"/>
      <c r="M36" s="190"/>
      <c r="N36" s="190"/>
      <c r="O36" s="190"/>
      <c r="P36" s="191"/>
      <c r="Q36" s="191"/>
      <c r="R36" s="191"/>
      <c r="S36" s="191"/>
      <c r="T36" s="191"/>
      <c r="U36" s="191"/>
    </row>
    <row r="37" spans="1:21" ht="13.9">
      <c r="A37" s="429"/>
      <c r="B37" s="438"/>
      <c r="C37" s="382"/>
      <c r="D37" s="153"/>
      <c r="E37" s="243"/>
      <c r="F37" s="157"/>
      <c r="G37" s="156"/>
      <c r="H37" s="150"/>
      <c r="I37" s="151"/>
      <c r="J37" s="152"/>
      <c r="K37" s="154"/>
      <c r="L37" s="350"/>
      <c r="M37" s="190"/>
      <c r="N37" s="190"/>
      <c r="O37" s="190"/>
      <c r="P37" s="191"/>
      <c r="Q37" s="191"/>
      <c r="R37" s="191"/>
      <c r="S37" s="191"/>
      <c r="T37" s="191"/>
      <c r="U37" s="191"/>
    </row>
    <row r="38" spans="1:21" ht="13.9">
      <c r="A38" s="429"/>
      <c r="B38" s="438"/>
      <c r="C38" s="383" t="s">
        <v>109</v>
      </c>
      <c r="D38" s="153"/>
      <c r="E38" s="149"/>
      <c r="F38" s="157" t="s">
        <v>108</v>
      </c>
      <c r="G38" s="156"/>
      <c r="H38" s="150"/>
      <c r="I38" s="151">
        <v>50000</v>
      </c>
      <c r="J38" s="152">
        <f>I38</f>
        <v>50000</v>
      </c>
      <c r="K38" s="154"/>
      <c r="L38" s="350"/>
      <c r="M38" s="190"/>
      <c r="N38" s="190"/>
      <c r="O38" s="190"/>
      <c r="P38" s="191"/>
      <c r="Q38" s="191"/>
      <c r="R38" s="191"/>
      <c r="S38" s="191"/>
      <c r="T38" s="191"/>
      <c r="U38" s="191"/>
    </row>
    <row r="39" spans="1:21" ht="13.9">
      <c r="A39" s="429"/>
      <c r="B39" s="438"/>
      <c r="C39" s="383"/>
      <c r="D39" s="153"/>
      <c r="E39" s="149"/>
      <c r="F39" s="157"/>
      <c r="G39" s="156"/>
      <c r="H39" s="150"/>
      <c r="I39" s="151"/>
      <c r="J39" s="152"/>
      <c r="K39" s="154"/>
      <c r="L39" s="350"/>
      <c r="M39" s="190"/>
      <c r="N39" s="190"/>
      <c r="O39" s="190"/>
      <c r="P39" s="191"/>
      <c r="Q39" s="191"/>
      <c r="R39" s="191"/>
      <c r="S39" s="191"/>
      <c r="T39" s="191"/>
      <c r="U39" s="191"/>
    </row>
    <row r="40" spans="1:21" ht="27.6">
      <c r="A40" s="429"/>
      <c r="B40" s="438"/>
      <c r="C40" s="382" t="s">
        <v>110</v>
      </c>
      <c r="D40" s="153"/>
      <c r="E40" s="149"/>
      <c r="F40" s="157">
        <f>3041/3</f>
        <v>1013.6666666666666</v>
      </c>
      <c r="G40" s="156" t="s">
        <v>92</v>
      </c>
      <c r="H40" s="150"/>
      <c r="I40" s="151">
        <f>300</f>
        <v>300</v>
      </c>
      <c r="J40" s="152">
        <f>I40*F40</f>
        <v>304100</v>
      </c>
      <c r="K40" s="154"/>
      <c r="L40" s="350"/>
      <c r="M40" s="190"/>
      <c r="N40" s="190"/>
      <c r="O40" s="190"/>
      <c r="P40" s="191"/>
      <c r="Q40" s="191"/>
      <c r="R40" s="191"/>
      <c r="S40" s="191"/>
      <c r="T40" s="191"/>
      <c r="U40" s="191"/>
    </row>
    <row r="41" spans="1:21" ht="13.9">
      <c r="A41" s="429"/>
      <c r="B41" s="438"/>
      <c r="C41" s="383"/>
      <c r="D41" s="153"/>
      <c r="E41" s="149"/>
      <c r="F41" s="157"/>
      <c r="G41" s="156"/>
      <c r="H41" s="150"/>
      <c r="I41" s="151"/>
      <c r="J41" s="152"/>
      <c r="K41" s="154"/>
      <c r="L41" s="350"/>
      <c r="M41" s="190"/>
      <c r="N41" s="190"/>
      <c r="O41" s="190"/>
      <c r="P41" s="191"/>
      <c r="Q41" s="191"/>
      <c r="R41" s="191"/>
      <c r="S41" s="191"/>
      <c r="T41" s="191"/>
      <c r="U41" s="191"/>
    </row>
    <row r="42" spans="1:21" ht="27.6">
      <c r="A42" s="429"/>
      <c r="B42" s="438"/>
      <c r="C42" s="382" t="s">
        <v>111</v>
      </c>
      <c r="D42" s="153"/>
      <c r="E42" s="149"/>
      <c r="F42" s="157">
        <v>180</v>
      </c>
      <c r="G42" s="156" t="s">
        <v>101</v>
      </c>
      <c r="H42" s="150"/>
      <c r="I42" s="151">
        <f>270</f>
        <v>270</v>
      </c>
      <c r="J42" s="152">
        <f>I42*F42</f>
        <v>48600</v>
      </c>
      <c r="K42" s="154"/>
      <c r="L42" s="350"/>
      <c r="M42" s="190"/>
      <c r="N42" s="190"/>
      <c r="O42" s="190"/>
      <c r="P42" s="191"/>
      <c r="Q42" s="191"/>
      <c r="R42" s="191"/>
      <c r="S42" s="191"/>
      <c r="T42" s="191"/>
      <c r="U42" s="191"/>
    </row>
    <row r="43" spans="1:21">
      <c r="A43" s="429"/>
      <c r="B43" s="438"/>
      <c r="C43" s="244"/>
      <c r="D43" s="153"/>
      <c r="E43" s="149"/>
      <c r="F43" s="157"/>
      <c r="G43" s="156"/>
      <c r="H43" s="150"/>
      <c r="I43" s="151"/>
      <c r="J43" s="152"/>
      <c r="K43" s="154"/>
      <c r="L43" s="350"/>
      <c r="M43" s="190"/>
      <c r="N43" s="190"/>
      <c r="O43" s="190"/>
      <c r="P43" s="191"/>
      <c r="Q43" s="191"/>
      <c r="R43" s="191"/>
      <c r="S43" s="191"/>
      <c r="T43" s="191"/>
      <c r="U43" s="191"/>
    </row>
    <row r="44" spans="1:21" ht="41.45">
      <c r="A44" s="429"/>
      <c r="B44" s="438"/>
      <c r="C44" s="382" t="s">
        <v>112</v>
      </c>
      <c r="D44" s="153"/>
      <c r="E44" s="149"/>
      <c r="F44" s="157">
        <v>3041</v>
      </c>
      <c r="G44" s="156" t="s">
        <v>92</v>
      </c>
      <c r="H44" s="150"/>
      <c r="I44" s="151">
        <f>150</f>
        <v>150</v>
      </c>
      <c r="J44" s="152">
        <f>I44*F44</f>
        <v>456150</v>
      </c>
      <c r="K44" s="154"/>
      <c r="L44" s="350"/>
      <c r="M44" s="190"/>
      <c r="N44" s="190"/>
      <c r="O44" s="190"/>
      <c r="P44" s="191"/>
      <c r="Q44" s="191"/>
      <c r="R44" s="191"/>
      <c r="S44" s="191"/>
      <c r="T44" s="191"/>
      <c r="U44" s="191"/>
    </row>
    <row r="45" spans="1:21" ht="13.9">
      <c r="A45" s="429"/>
      <c r="B45" s="438"/>
      <c r="C45" s="382"/>
      <c r="D45" s="153"/>
      <c r="E45" s="149"/>
      <c r="F45" s="157"/>
      <c r="G45" s="156"/>
      <c r="H45" s="150"/>
      <c r="I45" s="151"/>
      <c r="J45" s="152"/>
      <c r="K45" s="154"/>
      <c r="L45" s="350"/>
      <c r="M45" s="190"/>
      <c r="N45" s="190"/>
      <c r="O45" s="190"/>
      <c r="P45" s="191"/>
      <c r="Q45" s="191"/>
      <c r="R45" s="191"/>
      <c r="S45" s="191"/>
      <c r="T45" s="191"/>
      <c r="U45" s="191"/>
    </row>
    <row r="46" spans="1:21" ht="27.6">
      <c r="A46" s="429"/>
      <c r="B46" s="438"/>
      <c r="C46" s="382" t="s">
        <v>113</v>
      </c>
      <c r="D46" s="153"/>
      <c r="E46" s="149"/>
      <c r="F46" s="157"/>
      <c r="G46" s="156" t="s">
        <v>108</v>
      </c>
      <c r="H46" s="150"/>
      <c r="I46" s="151">
        <f>J46</f>
        <v>66035.693518083615</v>
      </c>
      <c r="J46" s="152">
        <f>(49000/4258)*3041*(2.22)*(0.85)</f>
        <v>66035.693518083615</v>
      </c>
      <c r="K46" s="154" t="s">
        <v>114</v>
      </c>
      <c r="L46" s="350"/>
      <c r="M46" s="190"/>
      <c r="N46" s="190"/>
      <c r="O46" s="190"/>
      <c r="P46" s="191"/>
      <c r="Q46" s="191"/>
      <c r="R46" s="191"/>
      <c r="S46" s="191"/>
      <c r="T46" s="191"/>
      <c r="U46" s="191"/>
    </row>
    <row r="47" spans="1:21" ht="13.9">
      <c r="A47" s="429"/>
      <c r="B47" s="438"/>
      <c r="C47" s="382"/>
      <c r="D47" s="153"/>
      <c r="E47" s="149"/>
      <c r="F47" s="157"/>
      <c r="G47" s="156"/>
      <c r="H47" s="150"/>
      <c r="I47" s="151"/>
      <c r="J47" s="152"/>
      <c r="K47" s="154"/>
      <c r="L47" s="350"/>
      <c r="M47" s="190"/>
      <c r="N47" s="190"/>
      <c r="O47" s="190"/>
      <c r="P47" s="191"/>
      <c r="Q47" s="191"/>
      <c r="R47" s="191"/>
      <c r="S47" s="191"/>
      <c r="T47" s="191"/>
      <c r="U47" s="191"/>
    </row>
    <row r="48" spans="1:21" ht="13.9" thickBot="1">
      <c r="A48" s="380">
        <v>2</v>
      </c>
      <c r="B48" s="439"/>
      <c r="C48" s="325" t="s">
        <v>115</v>
      </c>
      <c r="D48" s="326"/>
      <c r="E48" s="327"/>
      <c r="F48" s="328"/>
      <c r="G48" s="329"/>
      <c r="H48" s="330"/>
      <c r="I48" s="331"/>
      <c r="J48" s="332"/>
      <c r="K48" s="333">
        <f>SUM(J51:J108)</f>
        <v>2699457</v>
      </c>
      <c r="L48" s="350"/>
      <c r="M48" s="190"/>
      <c r="N48" s="190"/>
      <c r="O48" s="190"/>
      <c r="P48" s="191"/>
      <c r="Q48" s="191"/>
      <c r="R48" s="191"/>
      <c r="S48" s="191"/>
      <c r="T48" s="191"/>
      <c r="U48" s="191"/>
    </row>
    <row r="49" spans="1:21" ht="13.9" thickTop="1">
      <c r="A49" s="380">
        <v>2.1</v>
      </c>
      <c r="B49" s="439"/>
      <c r="C49" s="378" t="s">
        <v>116</v>
      </c>
      <c r="D49" s="326"/>
      <c r="E49" s="327"/>
      <c r="F49" s="328"/>
      <c r="G49" s="329"/>
      <c r="H49" s="330"/>
      <c r="I49" s="331"/>
      <c r="J49" s="332"/>
      <c r="K49" s="334"/>
      <c r="L49" s="350"/>
      <c r="M49" s="190"/>
      <c r="N49" s="190"/>
      <c r="O49" s="190"/>
      <c r="P49" s="191"/>
      <c r="Q49" s="191"/>
      <c r="R49" s="191"/>
      <c r="S49" s="191"/>
      <c r="T49" s="191"/>
      <c r="U49" s="191"/>
    </row>
    <row r="50" spans="1:21">
      <c r="A50" s="380"/>
      <c r="B50" s="439"/>
      <c r="C50" s="325"/>
      <c r="D50" s="326"/>
      <c r="E50" s="327"/>
      <c r="F50" s="328"/>
      <c r="G50" s="329"/>
      <c r="H50" s="330"/>
      <c r="I50" s="331"/>
      <c r="J50" s="332"/>
      <c r="K50" s="334"/>
      <c r="L50" s="350"/>
      <c r="M50" s="190"/>
      <c r="N50" s="190"/>
      <c r="O50" s="190"/>
      <c r="P50" s="191"/>
      <c r="Q50" s="191"/>
      <c r="R50" s="191"/>
      <c r="S50" s="191"/>
      <c r="T50" s="191"/>
      <c r="U50" s="191"/>
    </row>
    <row r="51" spans="1:21" ht="13.9">
      <c r="A51" s="380"/>
      <c r="B51" s="439"/>
      <c r="C51" s="387" t="s">
        <v>117</v>
      </c>
      <c r="D51" s="326"/>
      <c r="E51" s="327"/>
      <c r="F51" s="328">
        <v>750</v>
      </c>
      <c r="G51" s="329" t="s">
        <v>92</v>
      </c>
      <c r="H51" s="330"/>
      <c r="I51" s="331">
        <f>140</f>
        <v>140</v>
      </c>
      <c r="J51" s="332">
        <f>F51*I51</f>
        <v>105000</v>
      </c>
      <c r="K51" s="334"/>
      <c r="L51" s="350"/>
      <c r="M51" s="190"/>
      <c r="N51" s="190"/>
      <c r="O51" s="190"/>
      <c r="P51" s="191"/>
      <c r="Q51" s="191"/>
      <c r="R51" s="191"/>
      <c r="S51" s="191"/>
      <c r="T51" s="191"/>
      <c r="U51" s="191"/>
    </row>
    <row r="52" spans="1:21">
      <c r="A52" s="380"/>
      <c r="B52" s="439"/>
      <c r="C52" s="325"/>
      <c r="D52" s="326"/>
      <c r="E52" s="327"/>
      <c r="F52" s="328"/>
      <c r="G52" s="329"/>
      <c r="H52" s="330"/>
      <c r="I52" s="331"/>
      <c r="J52" s="332"/>
      <c r="K52" s="334"/>
      <c r="L52" s="350"/>
      <c r="M52" s="190"/>
      <c r="N52" s="190"/>
      <c r="O52" s="190"/>
      <c r="P52" s="191"/>
      <c r="Q52" s="191"/>
      <c r="R52" s="191"/>
      <c r="S52" s="191"/>
      <c r="T52" s="191"/>
      <c r="U52" s="191"/>
    </row>
    <row r="53" spans="1:21" ht="55.15">
      <c r="A53" s="380"/>
      <c r="B53" s="335"/>
      <c r="C53" s="384" t="s">
        <v>118</v>
      </c>
      <c r="D53" s="326"/>
      <c r="E53" s="327"/>
      <c r="F53" s="328">
        <v>600</v>
      </c>
      <c r="G53" s="329" t="s">
        <v>92</v>
      </c>
      <c r="H53" s="336"/>
      <c r="I53" s="337">
        <f>210</f>
        <v>210</v>
      </c>
      <c r="J53" s="338">
        <f>F53*I53</f>
        <v>126000</v>
      </c>
      <c r="K53" s="339"/>
      <c r="L53" s="350"/>
      <c r="M53" s="190"/>
      <c r="N53" s="190"/>
      <c r="O53" s="190"/>
      <c r="P53" s="191"/>
      <c r="Q53" s="191"/>
      <c r="R53" s="191"/>
      <c r="S53" s="191"/>
      <c r="T53" s="191"/>
      <c r="U53" s="191"/>
    </row>
    <row r="54" spans="1:21">
      <c r="A54" s="380"/>
      <c r="B54" s="439"/>
      <c r="C54" s="340"/>
      <c r="D54" s="326"/>
      <c r="E54" s="327"/>
      <c r="F54" s="328"/>
      <c r="G54" s="329"/>
      <c r="H54" s="330"/>
      <c r="I54" s="331"/>
      <c r="J54" s="332"/>
      <c r="K54" s="334"/>
      <c r="L54" s="350"/>
      <c r="M54" s="190"/>
      <c r="N54" s="190"/>
      <c r="O54" s="190"/>
      <c r="P54" s="191"/>
      <c r="Q54" s="191"/>
      <c r="R54" s="191"/>
      <c r="S54" s="191"/>
      <c r="T54" s="191"/>
      <c r="U54" s="191"/>
    </row>
    <row r="55" spans="1:21" ht="41.45">
      <c r="A55" s="380"/>
      <c r="B55" s="439"/>
      <c r="C55" s="385" t="s">
        <v>119</v>
      </c>
      <c r="D55" s="326"/>
      <c r="E55" s="327"/>
      <c r="F55" s="328">
        <v>1640</v>
      </c>
      <c r="G55" s="329" t="s">
        <v>92</v>
      </c>
      <c r="H55" s="336"/>
      <c r="I55" s="337">
        <f>330</f>
        <v>330</v>
      </c>
      <c r="J55" s="338">
        <f>I55*F55</f>
        <v>541200</v>
      </c>
      <c r="K55" s="339"/>
      <c r="L55" s="350"/>
      <c r="M55" s="190"/>
      <c r="N55" s="190"/>
      <c r="O55" s="190"/>
      <c r="P55" s="191"/>
      <c r="Q55" s="191"/>
      <c r="R55" s="191"/>
      <c r="S55" s="191"/>
      <c r="T55" s="191"/>
      <c r="U55" s="191"/>
    </row>
    <row r="56" spans="1:21" ht="13.9">
      <c r="A56" s="380"/>
      <c r="B56" s="439"/>
      <c r="C56" s="385"/>
      <c r="D56" s="326"/>
      <c r="E56" s="327"/>
      <c r="F56" s="328"/>
      <c r="G56" s="329"/>
      <c r="H56" s="336"/>
      <c r="I56" s="337"/>
      <c r="J56" s="338"/>
      <c r="K56" s="339"/>
      <c r="L56" s="350"/>
      <c r="M56" s="190"/>
      <c r="N56" s="190"/>
      <c r="O56" s="190"/>
      <c r="P56" s="191"/>
      <c r="Q56" s="191"/>
      <c r="R56" s="191"/>
      <c r="S56" s="191"/>
      <c r="T56" s="191"/>
      <c r="U56" s="191"/>
    </row>
    <row r="57" spans="1:21" ht="13.9">
      <c r="A57" s="380">
        <v>2.2000000000000002</v>
      </c>
      <c r="B57" s="439"/>
      <c r="C57" s="386" t="s">
        <v>120</v>
      </c>
      <c r="D57" s="326"/>
      <c r="E57" s="327"/>
      <c r="F57" s="328"/>
      <c r="G57" s="329"/>
      <c r="H57" s="336"/>
      <c r="I57" s="337"/>
      <c r="J57" s="338"/>
      <c r="K57" s="339"/>
      <c r="L57" s="350"/>
      <c r="M57" s="190"/>
      <c r="N57" s="190"/>
      <c r="O57" s="190"/>
      <c r="P57" s="191"/>
      <c r="Q57" s="191"/>
      <c r="R57" s="191"/>
      <c r="S57" s="191"/>
      <c r="T57" s="191"/>
      <c r="U57" s="191"/>
    </row>
    <row r="58" spans="1:21" ht="13.9">
      <c r="A58" s="380"/>
      <c r="B58" s="439"/>
      <c r="C58" s="386"/>
      <c r="D58" s="326"/>
      <c r="E58" s="327"/>
      <c r="F58" s="328"/>
      <c r="G58" s="329"/>
      <c r="H58" s="336"/>
      <c r="I58" s="337"/>
      <c r="J58" s="338"/>
      <c r="K58" s="339"/>
      <c r="L58" s="103"/>
      <c r="M58" s="190"/>
      <c r="N58" s="190"/>
      <c r="O58" s="190"/>
      <c r="P58" s="191"/>
      <c r="Q58" s="191"/>
      <c r="R58" s="191"/>
      <c r="S58" s="191"/>
      <c r="T58" s="191"/>
      <c r="U58" s="191"/>
    </row>
    <row r="59" spans="1:21" ht="13.9">
      <c r="A59" s="380"/>
      <c r="B59" s="439"/>
      <c r="C59" s="385" t="s">
        <v>121</v>
      </c>
      <c r="D59" s="341"/>
      <c r="E59" s="342"/>
      <c r="F59" s="343">
        <f>2027-280</f>
        <v>1747</v>
      </c>
      <c r="G59" s="344" t="s">
        <v>92</v>
      </c>
      <c r="H59" s="345"/>
      <c r="I59" s="346">
        <f>115</f>
        <v>115</v>
      </c>
      <c r="J59" s="347">
        <f>I59*F59</f>
        <v>200905</v>
      </c>
      <c r="K59" s="348"/>
      <c r="L59" s="349"/>
      <c r="M59" s="190"/>
      <c r="N59" s="190"/>
      <c r="O59" s="190"/>
      <c r="P59" s="191"/>
      <c r="Q59" s="191"/>
      <c r="R59" s="191"/>
      <c r="S59" s="191"/>
      <c r="T59" s="191"/>
      <c r="U59" s="191"/>
    </row>
    <row r="60" spans="1:21" ht="13.9">
      <c r="A60" s="380"/>
      <c r="B60" s="439"/>
      <c r="C60" s="386"/>
      <c r="D60" s="326"/>
      <c r="E60" s="327"/>
      <c r="F60" s="328"/>
      <c r="G60" s="329"/>
      <c r="H60" s="336"/>
      <c r="I60" s="337"/>
      <c r="J60" s="338"/>
      <c r="K60" s="339"/>
      <c r="L60" s="103"/>
      <c r="M60" s="190"/>
      <c r="N60" s="190"/>
      <c r="O60" s="190"/>
      <c r="P60" s="191"/>
      <c r="Q60" s="191"/>
      <c r="R60" s="191"/>
      <c r="S60" s="191"/>
      <c r="T60" s="191"/>
      <c r="U60" s="191"/>
    </row>
    <row r="61" spans="1:21" ht="13.9">
      <c r="A61" s="380"/>
      <c r="B61" s="439"/>
      <c r="C61" s="386"/>
      <c r="D61" s="326"/>
      <c r="E61" s="327"/>
      <c r="F61" s="328"/>
      <c r="G61" s="329"/>
      <c r="H61" s="336"/>
      <c r="I61" s="337"/>
      <c r="J61" s="338"/>
      <c r="K61" s="339"/>
      <c r="L61" s="103"/>
      <c r="M61" s="190"/>
      <c r="N61" s="190"/>
      <c r="O61" s="190"/>
      <c r="P61" s="191"/>
      <c r="Q61" s="191"/>
      <c r="R61" s="191"/>
      <c r="S61" s="191"/>
      <c r="T61" s="191"/>
      <c r="U61" s="191"/>
    </row>
    <row r="62" spans="1:21" ht="13.9">
      <c r="A62" s="380">
        <v>2.2999999999999998</v>
      </c>
      <c r="B62" s="439"/>
      <c r="C62" s="386" t="s">
        <v>122</v>
      </c>
      <c r="D62" s="326"/>
      <c r="E62" s="327"/>
      <c r="F62" s="328"/>
      <c r="G62" s="329"/>
      <c r="H62" s="336"/>
      <c r="I62" s="337"/>
      <c r="J62" s="338"/>
      <c r="K62" s="339"/>
      <c r="L62" s="103"/>
      <c r="M62" s="190"/>
      <c r="N62" s="190"/>
      <c r="O62" s="190"/>
      <c r="P62" s="191"/>
      <c r="Q62" s="191"/>
      <c r="R62" s="191"/>
      <c r="S62" s="191"/>
      <c r="T62" s="191"/>
      <c r="U62" s="191"/>
    </row>
    <row r="63" spans="1:21" ht="82.9">
      <c r="A63" s="380"/>
      <c r="B63" s="439"/>
      <c r="C63" s="385" t="s">
        <v>123</v>
      </c>
      <c r="D63" s="326"/>
      <c r="E63" s="327"/>
      <c r="F63" s="328"/>
      <c r="G63" s="329"/>
      <c r="H63" s="336"/>
      <c r="I63" s="337"/>
      <c r="J63" s="338"/>
      <c r="K63" s="339"/>
      <c r="L63" s="103"/>
      <c r="M63" s="190"/>
      <c r="N63" s="190"/>
      <c r="O63" s="190"/>
      <c r="P63" s="191"/>
      <c r="Q63" s="191"/>
      <c r="R63" s="191"/>
      <c r="S63" s="191"/>
      <c r="T63" s="191"/>
      <c r="U63" s="191"/>
    </row>
    <row r="64" spans="1:21" ht="41.45">
      <c r="A64" s="380"/>
      <c r="B64" s="439"/>
      <c r="C64" s="385" t="s">
        <v>124</v>
      </c>
      <c r="D64" s="326"/>
      <c r="E64" s="327"/>
      <c r="F64" s="328">
        <v>3041</v>
      </c>
      <c r="G64" s="329" t="s">
        <v>92</v>
      </c>
      <c r="H64" s="336"/>
      <c r="I64" s="337">
        <f>200</f>
        <v>200</v>
      </c>
      <c r="J64" s="338">
        <f>I64*F64</f>
        <v>608200</v>
      </c>
      <c r="K64" s="339"/>
      <c r="L64" s="103"/>
      <c r="M64" s="190"/>
      <c r="N64" s="190"/>
      <c r="O64" s="190"/>
      <c r="P64" s="191"/>
      <c r="Q64" s="191"/>
      <c r="R64" s="191"/>
      <c r="S64" s="191"/>
      <c r="T64" s="191"/>
      <c r="U64" s="191"/>
    </row>
    <row r="65" spans="1:21" ht="13.9">
      <c r="A65" s="380"/>
      <c r="B65" s="439"/>
      <c r="C65" s="385"/>
      <c r="D65" s="326"/>
      <c r="E65" s="327"/>
      <c r="F65" s="328"/>
      <c r="G65" s="329"/>
      <c r="H65" s="336"/>
      <c r="I65" s="337"/>
      <c r="J65" s="338"/>
      <c r="K65" s="339"/>
      <c r="L65" s="103"/>
      <c r="M65" s="190"/>
      <c r="N65" s="190"/>
      <c r="O65" s="190"/>
      <c r="P65" s="191"/>
      <c r="Q65" s="191"/>
      <c r="R65" s="191"/>
      <c r="S65" s="191"/>
      <c r="T65" s="191"/>
      <c r="U65" s="191"/>
    </row>
    <row r="66" spans="1:21" ht="41.45">
      <c r="A66" s="380"/>
      <c r="B66" s="439"/>
      <c r="C66" s="385" t="s">
        <v>125</v>
      </c>
      <c r="D66" s="326"/>
      <c r="E66" s="327"/>
      <c r="F66" s="328">
        <v>120</v>
      </c>
      <c r="G66" s="329" t="s">
        <v>92</v>
      </c>
      <c r="H66" s="336"/>
      <c r="I66" s="337">
        <f>60</f>
        <v>60</v>
      </c>
      <c r="J66" s="338">
        <f>F66*I66</f>
        <v>7200</v>
      </c>
      <c r="K66" s="339"/>
      <c r="L66" s="103"/>
      <c r="M66" s="190"/>
      <c r="N66" s="190"/>
      <c r="O66" s="190"/>
      <c r="P66" s="191"/>
      <c r="Q66" s="191"/>
      <c r="R66" s="191"/>
      <c r="S66" s="191"/>
      <c r="T66" s="191"/>
      <c r="U66" s="191"/>
    </row>
    <row r="67" spans="1:21" ht="13.9">
      <c r="A67" s="380"/>
      <c r="B67" s="439"/>
      <c r="C67" s="385"/>
      <c r="D67" s="326"/>
      <c r="E67" s="327"/>
      <c r="F67" s="328"/>
      <c r="G67" s="329"/>
      <c r="H67" s="336"/>
      <c r="I67" s="337"/>
      <c r="J67" s="338"/>
      <c r="K67" s="339"/>
      <c r="L67" s="103"/>
      <c r="M67" s="190"/>
      <c r="N67" s="190"/>
      <c r="O67" s="190"/>
      <c r="P67" s="191"/>
      <c r="Q67" s="191"/>
      <c r="R67" s="191"/>
      <c r="S67" s="191"/>
      <c r="T67" s="191"/>
      <c r="U67" s="191"/>
    </row>
    <row r="68" spans="1:21" ht="27.6">
      <c r="A68" s="380"/>
      <c r="B68" s="439"/>
      <c r="C68" s="385" t="s">
        <v>126</v>
      </c>
      <c r="D68" s="326"/>
      <c r="E68" s="327"/>
      <c r="F68" s="328"/>
      <c r="G68" s="329" t="s">
        <v>108</v>
      </c>
      <c r="H68" s="336"/>
      <c r="I68" s="337">
        <v>50000</v>
      </c>
      <c r="J68" s="338">
        <f>I68</f>
        <v>50000</v>
      </c>
      <c r="K68" s="339"/>
      <c r="L68" s="103"/>
      <c r="M68" s="190"/>
      <c r="N68" s="190"/>
      <c r="O68" s="190"/>
      <c r="P68" s="191"/>
      <c r="Q68" s="191"/>
      <c r="R68" s="191"/>
      <c r="S68" s="191"/>
      <c r="T68" s="191"/>
      <c r="U68" s="191"/>
    </row>
    <row r="69" spans="1:21" ht="13.9">
      <c r="A69" s="380"/>
      <c r="B69" s="439"/>
      <c r="C69" s="385"/>
      <c r="D69" s="326"/>
      <c r="E69" s="327"/>
      <c r="F69" s="328"/>
      <c r="G69" s="329"/>
      <c r="H69" s="336"/>
      <c r="I69" s="337"/>
      <c r="J69" s="338"/>
      <c r="K69" s="339"/>
      <c r="L69" s="103"/>
      <c r="M69" s="190"/>
      <c r="N69" s="190"/>
      <c r="O69" s="190"/>
      <c r="P69" s="191"/>
      <c r="Q69" s="191"/>
      <c r="R69" s="191"/>
      <c r="S69" s="191"/>
      <c r="T69" s="191"/>
      <c r="U69" s="191"/>
    </row>
    <row r="70" spans="1:21" ht="13.9">
      <c r="A70" s="380">
        <v>2.5</v>
      </c>
      <c r="B70" s="439"/>
      <c r="C70" s="386" t="s">
        <v>127</v>
      </c>
      <c r="D70" s="326"/>
      <c r="E70" s="327"/>
      <c r="F70" s="328"/>
      <c r="G70" s="329"/>
      <c r="H70" s="336"/>
      <c r="I70" s="337"/>
      <c r="J70" s="338"/>
      <c r="K70" s="339"/>
      <c r="L70" s="103"/>
      <c r="M70" s="190"/>
      <c r="N70" s="190"/>
      <c r="O70" s="190"/>
      <c r="P70" s="191"/>
      <c r="Q70" s="191"/>
      <c r="R70" s="191"/>
      <c r="S70" s="191"/>
      <c r="T70" s="191"/>
      <c r="U70" s="191"/>
    </row>
    <row r="71" spans="1:21" ht="27.6">
      <c r="A71" s="380"/>
      <c r="B71" s="439"/>
      <c r="C71" s="385" t="s">
        <v>128</v>
      </c>
      <c r="D71" s="326"/>
      <c r="E71" s="327"/>
      <c r="F71" s="328"/>
      <c r="G71" s="329" t="s">
        <v>108</v>
      </c>
      <c r="H71" s="336"/>
      <c r="I71" s="337">
        <f>34000</f>
        <v>34000</v>
      </c>
      <c r="J71" s="338">
        <f>I71</f>
        <v>34000</v>
      </c>
      <c r="K71" s="339"/>
      <c r="L71" s="103"/>
      <c r="M71" s="190"/>
      <c r="N71" s="190"/>
      <c r="O71" s="190"/>
      <c r="P71" s="191"/>
      <c r="Q71" s="191"/>
      <c r="R71" s="191"/>
      <c r="S71" s="191"/>
      <c r="T71" s="191"/>
      <c r="U71" s="191"/>
    </row>
    <row r="72" spans="1:21" ht="13.9">
      <c r="A72" s="380"/>
      <c r="B72" s="439"/>
      <c r="C72" s="385"/>
      <c r="D72" s="326"/>
      <c r="E72" s="327"/>
      <c r="F72" s="328"/>
      <c r="G72" s="329"/>
      <c r="H72" s="336"/>
      <c r="I72" s="337"/>
      <c r="J72" s="338"/>
      <c r="K72" s="339"/>
      <c r="L72" s="103"/>
      <c r="M72" s="190"/>
      <c r="N72" s="190"/>
      <c r="O72" s="190"/>
      <c r="P72" s="191"/>
      <c r="Q72" s="191"/>
      <c r="R72" s="191"/>
      <c r="S72" s="191"/>
      <c r="T72" s="191"/>
      <c r="U72" s="191"/>
    </row>
    <row r="73" spans="1:21" ht="13.9">
      <c r="A73" s="380"/>
      <c r="B73" s="439"/>
      <c r="C73" s="387"/>
      <c r="D73" s="326"/>
      <c r="E73" s="327"/>
      <c r="F73" s="328"/>
      <c r="G73" s="329" t="s">
        <v>129</v>
      </c>
      <c r="H73" s="336"/>
      <c r="I73" s="337">
        <f>2650</f>
        <v>2650</v>
      </c>
      <c r="J73" s="338">
        <f>I73</f>
        <v>2650</v>
      </c>
      <c r="K73" s="339"/>
      <c r="L73" s="103"/>
      <c r="M73" s="190"/>
      <c r="N73" s="190"/>
      <c r="O73" s="190"/>
      <c r="P73" s="191"/>
      <c r="Q73" s="191"/>
      <c r="R73" s="191"/>
      <c r="S73" s="191"/>
      <c r="T73" s="191"/>
      <c r="U73" s="191"/>
    </row>
    <row r="74" spans="1:21" ht="41.45">
      <c r="A74" s="380"/>
      <c r="B74" s="439"/>
      <c r="C74" s="385" t="s">
        <v>130</v>
      </c>
      <c r="D74" s="326"/>
      <c r="E74" s="327"/>
      <c r="F74" s="328">
        <v>4</v>
      </c>
      <c r="G74" s="329" t="s">
        <v>131</v>
      </c>
      <c r="H74" s="336"/>
      <c r="I74" s="337">
        <f>21500*(2.22)*(0.85)</f>
        <v>40570.500000000007</v>
      </c>
      <c r="J74" s="338">
        <f>I74*F74</f>
        <v>162282.00000000003</v>
      </c>
      <c r="K74" s="339"/>
      <c r="L74" s="103"/>
      <c r="M74" s="190"/>
      <c r="N74" s="190"/>
      <c r="O74" s="190"/>
      <c r="P74" s="191"/>
      <c r="Q74" s="191"/>
      <c r="R74" s="191"/>
      <c r="S74" s="191"/>
      <c r="T74" s="191"/>
      <c r="U74" s="191"/>
    </row>
    <row r="75" spans="1:21" ht="13.9">
      <c r="A75" s="380"/>
      <c r="B75" s="439"/>
      <c r="C75" s="387"/>
      <c r="D75" s="326"/>
      <c r="E75" s="327"/>
      <c r="F75" s="328"/>
      <c r="G75" s="329"/>
      <c r="H75" s="336"/>
      <c r="I75" s="337"/>
      <c r="J75" s="338"/>
      <c r="K75" s="339"/>
      <c r="L75" s="103"/>
      <c r="M75" s="190"/>
      <c r="N75" s="190"/>
      <c r="O75" s="190"/>
      <c r="P75" s="191"/>
      <c r="Q75" s="191"/>
      <c r="R75" s="191"/>
      <c r="S75" s="191"/>
      <c r="T75" s="191"/>
      <c r="U75" s="191"/>
    </row>
    <row r="76" spans="1:21" ht="26.45" customHeight="1">
      <c r="A76" s="380"/>
      <c r="B76" s="439"/>
      <c r="C76" s="385" t="s">
        <v>132</v>
      </c>
      <c r="D76" s="326"/>
      <c r="E76" s="327"/>
      <c r="F76" s="328">
        <v>4</v>
      </c>
      <c r="G76" s="329" t="s">
        <v>131</v>
      </c>
      <c r="H76" s="336"/>
      <c r="I76" s="337">
        <f>2500</f>
        <v>2500</v>
      </c>
      <c r="J76" s="338">
        <f>I76*F76</f>
        <v>10000</v>
      </c>
      <c r="K76" s="339"/>
      <c r="L76" s="103"/>
      <c r="M76" s="190"/>
      <c r="N76" s="190"/>
      <c r="O76" s="190"/>
      <c r="P76" s="191"/>
      <c r="Q76" s="191"/>
      <c r="R76" s="191"/>
      <c r="S76" s="191"/>
      <c r="T76" s="191"/>
      <c r="U76" s="191"/>
    </row>
    <row r="77" spans="1:21" ht="13.9">
      <c r="A77" s="380"/>
      <c r="B77" s="439"/>
      <c r="C77" s="387"/>
      <c r="D77" s="326"/>
      <c r="E77" s="327"/>
      <c r="F77" s="328"/>
      <c r="G77" s="329"/>
      <c r="H77" s="336"/>
      <c r="I77" s="337"/>
      <c r="J77" s="338"/>
      <c r="K77" s="339"/>
      <c r="L77" s="103"/>
      <c r="M77" s="190"/>
      <c r="N77" s="190"/>
      <c r="O77" s="190"/>
      <c r="P77" s="191"/>
      <c r="Q77" s="191"/>
      <c r="R77" s="191"/>
      <c r="S77" s="191"/>
      <c r="T77" s="191"/>
      <c r="U77" s="191"/>
    </row>
    <row r="78" spans="1:21" ht="13.9">
      <c r="A78" s="380">
        <v>2.6</v>
      </c>
      <c r="B78" s="439"/>
      <c r="C78" s="386" t="s">
        <v>133</v>
      </c>
      <c r="D78" s="326"/>
      <c r="E78" s="327"/>
      <c r="F78" s="328"/>
      <c r="G78" s="329"/>
      <c r="H78" s="336"/>
      <c r="I78" s="337"/>
      <c r="J78" s="338"/>
      <c r="K78" s="339"/>
      <c r="L78" s="103"/>
      <c r="M78" s="190"/>
      <c r="N78" s="190"/>
      <c r="O78" s="190"/>
      <c r="P78" s="191"/>
      <c r="Q78" s="191"/>
      <c r="R78" s="191"/>
      <c r="S78" s="191"/>
      <c r="T78" s="191"/>
      <c r="U78" s="191"/>
    </row>
    <row r="79" spans="1:21" ht="13.9">
      <c r="A79" s="430">
        <v>2.61</v>
      </c>
      <c r="B79" s="439"/>
      <c r="C79" s="388" t="s">
        <v>134</v>
      </c>
      <c r="D79" s="326"/>
      <c r="E79" s="327"/>
      <c r="F79" s="328"/>
      <c r="G79" s="329"/>
      <c r="H79" s="336"/>
      <c r="I79" s="337"/>
      <c r="J79" s="338"/>
      <c r="K79" s="339"/>
      <c r="L79" s="103"/>
      <c r="M79" s="190"/>
      <c r="N79" s="190"/>
      <c r="O79" s="190"/>
      <c r="P79" s="191"/>
      <c r="Q79" s="191"/>
      <c r="R79" s="191"/>
      <c r="S79" s="191"/>
      <c r="T79" s="191"/>
      <c r="U79" s="191"/>
    </row>
    <row r="80" spans="1:21" ht="13.9">
      <c r="A80" s="430"/>
      <c r="B80" s="439"/>
      <c r="C80" s="385" t="s">
        <v>135</v>
      </c>
      <c r="D80" s="326"/>
      <c r="E80" s="327"/>
      <c r="F80" s="328">
        <v>300</v>
      </c>
      <c r="G80" s="329" t="s">
        <v>92</v>
      </c>
      <c r="H80" s="336"/>
      <c r="I80" s="337">
        <f>800</f>
        <v>800</v>
      </c>
      <c r="J80" s="338">
        <f>F80*I80</f>
        <v>240000</v>
      </c>
      <c r="K80" s="339"/>
      <c r="L80" s="103"/>
      <c r="M80" s="190"/>
      <c r="N80" s="190"/>
      <c r="O80" s="190"/>
      <c r="P80" s="191"/>
      <c r="Q80" s="191"/>
      <c r="R80" s="191"/>
      <c r="S80" s="191"/>
      <c r="T80" s="191"/>
      <c r="U80" s="191"/>
    </row>
    <row r="81" spans="1:21" ht="13.9">
      <c r="A81" s="380"/>
      <c r="B81" s="439"/>
      <c r="C81" s="385"/>
      <c r="D81" s="326"/>
      <c r="E81" s="327"/>
      <c r="F81" s="328"/>
      <c r="G81" s="329"/>
      <c r="H81" s="336"/>
      <c r="I81" s="337"/>
      <c r="J81" s="338"/>
      <c r="K81" s="339"/>
      <c r="L81" s="103"/>
      <c r="M81" s="190"/>
      <c r="N81" s="190"/>
      <c r="O81" s="190"/>
      <c r="P81" s="191"/>
      <c r="Q81" s="191"/>
      <c r="R81" s="191"/>
      <c r="S81" s="191"/>
      <c r="T81" s="191"/>
      <c r="U81" s="191"/>
    </row>
    <row r="82" spans="1:21" ht="13.9">
      <c r="A82" s="380"/>
      <c r="B82" s="439"/>
      <c r="C82" s="387" t="s">
        <v>136</v>
      </c>
      <c r="D82" s="326"/>
      <c r="E82" s="327"/>
      <c r="F82" s="328">
        <v>550</v>
      </c>
      <c r="G82" s="329" t="s">
        <v>92</v>
      </c>
      <c r="H82" s="336"/>
      <c r="I82" s="337">
        <f>400</f>
        <v>400</v>
      </c>
      <c r="J82" s="338">
        <f>F82*I82</f>
        <v>220000</v>
      </c>
      <c r="K82" s="339"/>
      <c r="L82" s="103"/>
      <c r="M82" s="190"/>
      <c r="N82" s="190"/>
      <c r="O82" s="190"/>
      <c r="P82" s="191"/>
      <c r="Q82" s="191"/>
      <c r="R82" s="191"/>
      <c r="S82" s="191"/>
      <c r="T82" s="191"/>
      <c r="U82" s="191"/>
    </row>
    <row r="83" spans="1:21" ht="13.9">
      <c r="A83" s="380"/>
      <c r="B83" s="439"/>
      <c r="C83" s="385"/>
      <c r="D83" s="326"/>
      <c r="E83" s="327"/>
      <c r="F83" s="328"/>
      <c r="G83" s="329"/>
      <c r="H83" s="336"/>
      <c r="I83" s="337"/>
      <c r="J83" s="338"/>
      <c r="K83" s="339"/>
      <c r="L83" s="103"/>
      <c r="M83" s="190"/>
      <c r="N83" s="190"/>
      <c r="O83" s="190"/>
      <c r="P83" s="191"/>
      <c r="Q83" s="191"/>
      <c r="R83" s="191"/>
      <c r="S83" s="191"/>
      <c r="T83" s="191"/>
      <c r="U83" s="191"/>
    </row>
    <row r="84" spans="1:21">
      <c r="A84" s="430">
        <v>2.62</v>
      </c>
      <c r="B84" s="439"/>
      <c r="C84" s="325" t="s">
        <v>137</v>
      </c>
      <c r="D84" s="326"/>
      <c r="E84" s="327"/>
      <c r="F84" s="328"/>
      <c r="G84" s="329"/>
      <c r="H84" s="336"/>
      <c r="I84" s="337"/>
      <c r="J84" s="338"/>
      <c r="K84" s="339"/>
      <c r="L84" s="103"/>
      <c r="M84" s="190"/>
      <c r="N84" s="190"/>
      <c r="O84" s="190"/>
      <c r="P84" s="191"/>
      <c r="Q84" s="191"/>
      <c r="R84" s="191"/>
      <c r="S84" s="191"/>
      <c r="T84" s="191"/>
      <c r="U84" s="191"/>
    </row>
    <row r="85" spans="1:21" ht="13.9">
      <c r="A85" s="380"/>
      <c r="B85" s="439"/>
      <c r="C85" s="387" t="s">
        <v>138</v>
      </c>
      <c r="D85" s="326"/>
      <c r="E85" s="327"/>
      <c r="F85" s="328">
        <v>9</v>
      </c>
      <c r="G85" s="329" t="s">
        <v>131</v>
      </c>
      <c r="H85" s="336"/>
      <c r="I85" s="337">
        <f>2700</f>
        <v>2700</v>
      </c>
      <c r="J85" s="338">
        <f>F85*I85</f>
        <v>24300</v>
      </c>
      <c r="K85" s="339"/>
      <c r="L85" s="103"/>
      <c r="M85" s="190"/>
      <c r="N85" s="190"/>
      <c r="O85" s="190"/>
      <c r="P85" s="191"/>
      <c r="Q85" s="191"/>
      <c r="R85" s="191"/>
      <c r="S85" s="191"/>
      <c r="T85" s="191"/>
      <c r="U85" s="191"/>
    </row>
    <row r="86" spans="1:21" ht="13.9">
      <c r="A86" s="380"/>
      <c r="B86" s="439"/>
      <c r="C86" s="385"/>
      <c r="D86" s="326"/>
      <c r="E86" s="327"/>
      <c r="F86" s="328"/>
      <c r="G86" s="329"/>
      <c r="H86" s="336"/>
      <c r="I86" s="337"/>
      <c r="J86" s="338"/>
      <c r="K86" s="339"/>
      <c r="L86" s="103"/>
      <c r="M86" s="190"/>
      <c r="N86" s="190"/>
      <c r="O86" s="190"/>
      <c r="P86" s="191"/>
      <c r="Q86" s="191"/>
      <c r="R86" s="191"/>
      <c r="S86" s="191"/>
      <c r="T86" s="191"/>
      <c r="U86" s="191"/>
    </row>
    <row r="87" spans="1:21" ht="13.9">
      <c r="A87" s="380"/>
      <c r="B87" s="439"/>
      <c r="C87" s="385" t="s">
        <v>139</v>
      </c>
      <c r="D87" s="326"/>
      <c r="E87" s="327"/>
      <c r="F87" s="328">
        <v>1</v>
      </c>
      <c r="G87" s="329" t="s">
        <v>131</v>
      </c>
      <c r="H87" s="336"/>
      <c r="I87" s="337">
        <f>11500</f>
        <v>11500</v>
      </c>
      <c r="J87" s="338">
        <f>I87</f>
        <v>11500</v>
      </c>
      <c r="K87" s="339"/>
      <c r="L87" s="103"/>
      <c r="M87" s="190"/>
      <c r="N87" s="190"/>
      <c r="O87" s="190"/>
      <c r="P87" s="191"/>
      <c r="Q87" s="191"/>
      <c r="R87" s="191"/>
      <c r="S87" s="191"/>
      <c r="T87" s="191"/>
      <c r="U87" s="191"/>
    </row>
    <row r="88" spans="1:21" ht="13.9">
      <c r="A88" s="380"/>
      <c r="B88" s="439"/>
      <c r="C88" s="385"/>
      <c r="D88" s="326"/>
      <c r="E88" s="327"/>
      <c r="F88" s="328"/>
      <c r="G88" s="329"/>
      <c r="H88" s="336"/>
      <c r="I88" s="337"/>
      <c r="J88" s="338"/>
      <c r="K88" s="339"/>
      <c r="L88" s="103"/>
      <c r="M88" s="190"/>
      <c r="N88" s="190"/>
      <c r="O88" s="190"/>
      <c r="P88" s="191"/>
      <c r="Q88" s="191"/>
      <c r="R88" s="191"/>
      <c r="S88" s="191"/>
      <c r="T88" s="191"/>
      <c r="U88" s="191"/>
    </row>
    <row r="89" spans="1:21" ht="13.9">
      <c r="A89" s="380">
        <v>2.7</v>
      </c>
      <c r="B89" s="439"/>
      <c r="C89" s="386" t="s">
        <v>140</v>
      </c>
      <c r="D89" s="326"/>
      <c r="E89" s="327"/>
      <c r="F89" s="328"/>
      <c r="G89" s="329"/>
      <c r="H89" s="336"/>
      <c r="I89" s="337"/>
      <c r="J89" s="338"/>
      <c r="K89" s="339"/>
      <c r="L89" s="103"/>
      <c r="M89" s="190"/>
      <c r="N89" s="190"/>
      <c r="O89" s="190"/>
      <c r="P89" s="191"/>
      <c r="Q89" s="191"/>
      <c r="R89" s="191"/>
      <c r="S89" s="191"/>
      <c r="T89" s="191"/>
      <c r="U89" s="191"/>
    </row>
    <row r="90" spans="1:21" ht="13.9">
      <c r="A90" s="380"/>
      <c r="B90" s="439"/>
      <c r="C90" s="385"/>
      <c r="D90" s="326"/>
      <c r="E90" s="327"/>
      <c r="F90" s="328"/>
      <c r="G90" s="329"/>
      <c r="H90" s="336"/>
      <c r="I90" s="337"/>
      <c r="J90" s="338"/>
      <c r="K90" s="339"/>
      <c r="L90" s="103"/>
      <c r="M90" s="190"/>
      <c r="N90" s="190"/>
      <c r="O90" s="190"/>
      <c r="P90" s="191"/>
      <c r="Q90" s="191"/>
      <c r="R90" s="191"/>
      <c r="S90" s="191"/>
      <c r="T90" s="191"/>
      <c r="U90" s="191"/>
    </row>
    <row r="91" spans="1:21" ht="69">
      <c r="A91" s="430">
        <v>2.71</v>
      </c>
      <c r="B91" s="439"/>
      <c r="C91" s="385" t="s">
        <v>141</v>
      </c>
      <c r="D91" s="326"/>
      <c r="E91" s="327"/>
      <c r="F91" s="328">
        <f>3041-160</f>
        <v>2881</v>
      </c>
      <c r="G91" s="329" t="s">
        <v>92</v>
      </c>
      <c r="H91" s="336"/>
      <c r="I91" s="337">
        <f>80</f>
        <v>80</v>
      </c>
      <c r="J91" s="338">
        <f>F91*I91</f>
        <v>230480</v>
      </c>
      <c r="K91" s="588" t="s">
        <v>142</v>
      </c>
      <c r="L91" s="103"/>
      <c r="M91" s="190"/>
      <c r="N91" s="190"/>
      <c r="O91" s="190"/>
      <c r="P91" s="191"/>
      <c r="Q91" s="191"/>
      <c r="R91" s="191"/>
      <c r="S91" s="191"/>
      <c r="T91" s="191"/>
      <c r="U91" s="191"/>
    </row>
    <row r="92" spans="1:21" ht="13.9">
      <c r="A92" s="380"/>
      <c r="B92" s="439"/>
      <c r="C92" s="387"/>
      <c r="D92" s="326"/>
      <c r="E92" s="327"/>
      <c r="F92" s="328"/>
      <c r="G92" s="329"/>
      <c r="H92" s="336"/>
      <c r="I92" s="337"/>
      <c r="J92" s="338"/>
      <c r="K92" s="339"/>
      <c r="L92" s="103"/>
      <c r="M92" s="190"/>
      <c r="N92" s="190"/>
      <c r="O92" s="190"/>
      <c r="P92" s="191"/>
      <c r="Q92" s="191"/>
      <c r="R92" s="191"/>
      <c r="S92" s="191"/>
      <c r="T92" s="191"/>
      <c r="U92" s="191"/>
    </row>
    <row r="93" spans="1:21" ht="13.9">
      <c r="A93" s="431" t="s">
        <v>143</v>
      </c>
      <c r="B93" s="439"/>
      <c r="C93" s="387" t="s">
        <v>144</v>
      </c>
      <c r="D93" s="326"/>
      <c r="E93" s="327"/>
      <c r="F93" s="328"/>
      <c r="G93" s="329" t="s">
        <v>108</v>
      </c>
      <c r="H93" s="336"/>
      <c r="I93" s="337">
        <f>48000</f>
        <v>48000</v>
      </c>
      <c r="J93" s="338">
        <f>I93</f>
        <v>48000</v>
      </c>
      <c r="K93" s="339"/>
      <c r="L93" s="103"/>
      <c r="M93" s="190"/>
      <c r="N93" s="190"/>
      <c r="O93" s="190"/>
      <c r="P93" s="191"/>
      <c r="Q93" s="191"/>
      <c r="R93" s="191"/>
      <c r="S93" s="191"/>
      <c r="T93" s="191"/>
      <c r="U93" s="191"/>
    </row>
    <row r="94" spans="1:21" ht="13.9">
      <c r="A94" s="380"/>
      <c r="B94" s="439"/>
      <c r="C94" s="387"/>
      <c r="D94" s="326"/>
      <c r="E94" s="327"/>
      <c r="F94" s="328"/>
      <c r="G94" s="329"/>
      <c r="H94" s="336"/>
      <c r="I94" s="337"/>
      <c r="J94" s="338"/>
      <c r="K94" s="339"/>
      <c r="L94" s="103"/>
      <c r="M94" s="190"/>
      <c r="N94" s="190"/>
      <c r="O94" s="190"/>
      <c r="P94" s="191"/>
      <c r="Q94" s="191"/>
      <c r="R94" s="191"/>
      <c r="S94" s="191"/>
      <c r="T94" s="191"/>
      <c r="U94" s="191"/>
    </row>
    <row r="95" spans="1:21" ht="13.9">
      <c r="A95" s="380"/>
      <c r="B95" s="439"/>
      <c r="C95" s="387" t="s">
        <v>145</v>
      </c>
      <c r="D95" s="326"/>
      <c r="E95" s="327"/>
      <c r="F95" s="328"/>
      <c r="G95" s="329" t="s">
        <v>108</v>
      </c>
      <c r="H95" s="336"/>
      <c r="I95" s="337">
        <v>23000</v>
      </c>
      <c r="J95" s="338">
        <f>I95</f>
        <v>23000</v>
      </c>
      <c r="K95" s="339"/>
      <c r="L95" s="103"/>
      <c r="M95" s="190"/>
      <c r="N95" s="190"/>
      <c r="O95" s="190"/>
      <c r="P95" s="191"/>
      <c r="Q95" s="191"/>
      <c r="R95" s="191"/>
      <c r="S95" s="191"/>
      <c r="T95" s="191"/>
      <c r="U95" s="191"/>
    </row>
    <row r="96" spans="1:21" ht="13.9">
      <c r="A96" s="380"/>
      <c r="B96" s="439"/>
      <c r="C96" s="387"/>
      <c r="D96" s="326"/>
      <c r="E96" s="327"/>
      <c r="F96" s="328"/>
      <c r="G96" s="329"/>
      <c r="H96" s="336"/>
      <c r="I96" s="337"/>
      <c r="J96" s="338"/>
      <c r="K96" s="339"/>
      <c r="L96" s="103"/>
      <c r="M96" s="190"/>
      <c r="N96" s="190"/>
      <c r="O96" s="190"/>
      <c r="P96" s="191"/>
      <c r="Q96" s="191"/>
      <c r="R96" s="191"/>
      <c r="S96" s="191"/>
      <c r="T96" s="191"/>
      <c r="U96" s="191"/>
    </row>
    <row r="97" spans="1:21" ht="13.9">
      <c r="A97" s="380"/>
      <c r="B97" s="439"/>
      <c r="C97" s="387"/>
      <c r="D97" s="326"/>
      <c r="E97" s="327"/>
      <c r="F97" s="328"/>
      <c r="G97" s="329"/>
      <c r="H97" s="336"/>
      <c r="I97" s="337"/>
      <c r="J97" s="338"/>
      <c r="K97" s="339"/>
      <c r="L97" s="103"/>
      <c r="M97" s="190"/>
      <c r="N97" s="190"/>
      <c r="O97" s="190"/>
      <c r="P97" s="191"/>
      <c r="Q97" s="191"/>
      <c r="R97" s="191"/>
      <c r="S97" s="191"/>
      <c r="T97" s="191"/>
      <c r="U97" s="191"/>
    </row>
    <row r="98" spans="1:21" ht="13.9">
      <c r="A98" s="380">
        <v>2.8</v>
      </c>
      <c r="B98" s="439"/>
      <c r="C98" s="389" t="s">
        <v>146</v>
      </c>
      <c r="D98" s="326"/>
      <c r="E98" s="327"/>
      <c r="F98" s="328"/>
      <c r="G98" s="329"/>
      <c r="H98" s="336"/>
      <c r="I98" s="337"/>
      <c r="J98" s="338"/>
      <c r="K98" s="339"/>
      <c r="L98" s="103"/>
      <c r="M98" s="190"/>
      <c r="N98" s="190"/>
      <c r="O98" s="190"/>
      <c r="P98" s="191"/>
      <c r="Q98" s="191"/>
      <c r="R98" s="191"/>
      <c r="S98" s="191"/>
      <c r="T98" s="191"/>
      <c r="U98" s="191"/>
    </row>
    <row r="99" spans="1:21" ht="55.15">
      <c r="A99" s="380" t="s">
        <v>147</v>
      </c>
      <c r="B99" s="439"/>
      <c r="C99" s="385" t="s">
        <v>148</v>
      </c>
      <c r="D99" s="326"/>
      <c r="E99" s="327"/>
      <c r="F99" s="328"/>
      <c r="G99" s="329"/>
      <c r="H99" s="336"/>
      <c r="I99" s="337"/>
      <c r="J99" s="338"/>
      <c r="K99" s="339"/>
      <c r="L99" s="103"/>
      <c r="M99" s="190"/>
      <c r="N99" s="190"/>
      <c r="O99" s="190"/>
      <c r="P99" s="191"/>
      <c r="Q99" s="191"/>
      <c r="R99" s="191"/>
      <c r="S99" s="191"/>
      <c r="T99" s="191"/>
      <c r="U99" s="191"/>
    </row>
    <row r="100" spans="1:21" ht="13.9">
      <c r="A100" s="380"/>
      <c r="B100" s="439"/>
      <c r="C100" s="387"/>
      <c r="D100" s="326"/>
      <c r="E100" s="327"/>
      <c r="F100" s="328"/>
      <c r="G100" s="329"/>
      <c r="H100" s="336"/>
      <c r="I100" s="337"/>
      <c r="J100" s="338"/>
      <c r="K100" s="339"/>
      <c r="L100" s="103"/>
      <c r="M100" s="190"/>
      <c r="N100" s="190"/>
      <c r="O100" s="190"/>
      <c r="P100" s="191"/>
      <c r="Q100" s="191"/>
      <c r="R100" s="191"/>
      <c r="S100" s="191"/>
      <c r="T100" s="191"/>
      <c r="U100" s="191"/>
    </row>
    <row r="101" spans="1:21" ht="55.15">
      <c r="A101" s="380"/>
      <c r="B101" s="439"/>
      <c r="C101" s="385" t="s">
        <v>149</v>
      </c>
      <c r="D101" s="326"/>
      <c r="E101" s="327"/>
      <c r="F101" s="328"/>
      <c r="G101" s="329"/>
      <c r="H101" s="336"/>
      <c r="I101" s="337"/>
      <c r="J101" s="338"/>
      <c r="K101" s="339"/>
      <c r="L101" s="103"/>
      <c r="M101" s="190"/>
      <c r="N101" s="190"/>
      <c r="O101" s="190"/>
      <c r="P101" s="191"/>
      <c r="Q101" s="191"/>
      <c r="R101" s="191"/>
      <c r="S101" s="191"/>
      <c r="T101" s="191"/>
      <c r="U101" s="191"/>
    </row>
    <row r="102" spans="1:21" ht="13.9">
      <c r="A102" s="380"/>
      <c r="B102" s="439"/>
      <c r="C102" s="387"/>
      <c r="D102" s="326"/>
      <c r="E102" s="327"/>
      <c r="F102" s="328"/>
      <c r="G102" s="329"/>
      <c r="H102" s="336"/>
      <c r="I102" s="337"/>
      <c r="J102" s="338"/>
      <c r="K102" s="339"/>
      <c r="L102" s="103"/>
      <c r="M102" s="190"/>
      <c r="N102" s="190"/>
      <c r="O102" s="190"/>
      <c r="P102" s="191"/>
      <c r="Q102" s="191"/>
      <c r="R102" s="191"/>
      <c r="S102" s="191"/>
      <c r="T102" s="191"/>
      <c r="U102" s="191"/>
    </row>
    <row r="103" spans="1:21" ht="30" customHeight="1">
      <c r="A103" s="380"/>
      <c r="B103" s="439"/>
      <c r="C103" s="385" t="s">
        <v>150</v>
      </c>
      <c r="D103" s="326"/>
      <c r="E103" s="327"/>
      <c r="F103" s="328">
        <v>11</v>
      </c>
      <c r="G103" s="329" t="s">
        <v>108</v>
      </c>
      <c r="H103" s="336"/>
      <c r="I103" s="337">
        <f>610</f>
        <v>610</v>
      </c>
      <c r="J103" s="338">
        <f>F103*I103</f>
        <v>6710</v>
      </c>
      <c r="K103" s="339"/>
      <c r="L103" s="103"/>
      <c r="M103" s="190"/>
      <c r="N103" s="190"/>
      <c r="O103" s="190"/>
      <c r="P103" s="191"/>
      <c r="Q103" s="191"/>
      <c r="R103" s="191"/>
      <c r="S103" s="191"/>
      <c r="T103" s="191"/>
      <c r="U103" s="191"/>
    </row>
    <row r="104" spans="1:21" ht="13.9">
      <c r="A104" s="380"/>
      <c r="B104" s="439"/>
      <c r="C104" s="387"/>
      <c r="D104" s="326"/>
      <c r="E104" s="327"/>
      <c r="F104" s="328"/>
      <c r="G104" s="329"/>
      <c r="H104" s="336"/>
      <c r="I104" s="337"/>
      <c r="J104" s="338"/>
      <c r="K104" s="339"/>
      <c r="L104" s="103"/>
      <c r="M104" s="190"/>
      <c r="N104" s="190"/>
      <c r="O104" s="190"/>
      <c r="P104" s="191"/>
      <c r="Q104" s="191"/>
      <c r="R104" s="191"/>
      <c r="S104" s="191"/>
      <c r="T104" s="191"/>
      <c r="U104" s="191"/>
    </row>
    <row r="105" spans="1:21" ht="27.6">
      <c r="A105" s="380"/>
      <c r="B105" s="439"/>
      <c r="C105" s="385" t="s">
        <v>151</v>
      </c>
      <c r="D105" s="326"/>
      <c r="E105" s="327"/>
      <c r="F105" s="381">
        <f>8+14+12</f>
        <v>34</v>
      </c>
      <c r="G105" s="329" t="s">
        <v>108</v>
      </c>
      <c r="H105" s="336"/>
      <c r="I105" s="337">
        <f>1400</f>
        <v>1400</v>
      </c>
      <c r="J105" s="338">
        <f>F105*I105</f>
        <v>47600</v>
      </c>
      <c r="K105" s="339"/>
      <c r="L105" s="103"/>
      <c r="M105" s="190"/>
      <c r="N105" s="190"/>
      <c r="O105" s="190"/>
      <c r="P105" s="191"/>
      <c r="Q105" s="191"/>
      <c r="R105" s="191"/>
      <c r="S105" s="191"/>
      <c r="T105" s="191"/>
      <c r="U105" s="191"/>
    </row>
    <row r="106" spans="1:21" ht="13.9">
      <c r="A106" s="380"/>
      <c r="B106" s="439"/>
      <c r="C106" s="387"/>
      <c r="D106" s="326"/>
      <c r="E106" s="327"/>
      <c r="F106" s="328"/>
      <c r="G106" s="329"/>
      <c r="H106" s="336"/>
      <c r="I106" s="337"/>
      <c r="J106" s="338"/>
      <c r="K106" s="339"/>
      <c r="L106" s="103"/>
      <c r="M106" s="190"/>
      <c r="N106" s="190"/>
      <c r="O106" s="190"/>
      <c r="P106" s="191"/>
      <c r="Q106" s="191"/>
      <c r="R106" s="191"/>
      <c r="S106" s="191"/>
      <c r="T106" s="191"/>
      <c r="U106" s="191"/>
    </row>
    <row r="107" spans="1:21" ht="13.9">
      <c r="A107" s="380"/>
      <c r="B107" s="439"/>
      <c r="C107" s="387" t="s">
        <v>152</v>
      </c>
      <c r="D107" s="326"/>
      <c r="E107" s="327"/>
      <c r="F107" s="328">
        <v>1</v>
      </c>
      <c r="G107" s="329" t="s">
        <v>108</v>
      </c>
      <c r="H107" s="336"/>
      <c r="I107" s="337">
        <f>430</f>
        <v>430</v>
      </c>
      <c r="J107" s="338">
        <f>I107</f>
        <v>430</v>
      </c>
      <c r="K107" s="339"/>
      <c r="L107" s="103"/>
      <c r="M107" s="190"/>
      <c r="N107" s="190"/>
      <c r="O107" s="190"/>
      <c r="P107" s="191"/>
      <c r="Q107" s="191"/>
      <c r="R107" s="191"/>
      <c r="S107" s="191"/>
      <c r="T107" s="191"/>
      <c r="U107" s="191"/>
    </row>
    <row r="108" spans="1:21" ht="13.9">
      <c r="A108" s="380"/>
      <c r="B108" s="439"/>
      <c r="C108" s="387"/>
      <c r="D108" s="326"/>
      <c r="E108" s="327"/>
      <c r="F108" s="328"/>
      <c r="G108" s="329"/>
      <c r="H108" s="336"/>
      <c r="I108" s="337"/>
      <c r="J108" s="338"/>
      <c r="K108" s="339"/>
      <c r="L108" s="103"/>
      <c r="M108" s="190"/>
      <c r="N108" s="190"/>
      <c r="O108" s="190"/>
      <c r="P108" s="191"/>
      <c r="Q108" s="191"/>
      <c r="R108" s="191"/>
      <c r="S108" s="191"/>
      <c r="T108" s="191"/>
      <c r="U108" s="191"/>
    </row>
    <row r="109" spans="1:21" ht="13.9" thickBot="1">
      <c r="A109" s="432">
        <v>3</v>
      </c>
      <c r="B109" s="440"/>
      <c r="C109" s="245" t="s">
        <v>153</v>
      </c>
      <c r="D109" s="246"/>
      <c r="E109" s="247"/>
      <c r="F109" s="248"/>
      <c r="G109" s="249"/>
      <c r="H109" s="250"/>
      <c r="I109" s="251"/>
      <c r="J109" s="252"/>
      <c r="K109" s="556">
        <f>SUM(J110:J129)</f>
        <v>528711.96</v>
      </c>
      <c r="L109" s="103"/>
      <c r="M109" s="190"/>
      <c r="N109" s="190"/>
      <c r="O109" s="190"/>
      <c r="P109" s="191"/>
      <c r="Q109" s="191"/>
      <c r="R109" s="191"/>
      <c r="S109" s="191"/>
      <c r="T109" s="191"/>
      <c r="U109" s="191"/>
    </row>
    <row r="110" spans="1:21" ht="13.9" thickTop="1">
      <c r="A110" s="402"/>
      <c r="B110" s="440"/>
      <c r="C110" s="254"/>
      <c r="D110" s="246"/>
      <c r="E110" s="247"/>
      <c r="F110" s="248"/>
      <c r="G110" s="249"/>
      <c r="H110" s="250"/>
      <c r="I110" s="251"/>
      <c r="J110" s="252"/>
      <c r="K110" s="253"/>
      <c r="L110" s="103"/>
      <c r="M110" s="190"/>
      <c r="N110" s="190"/>
      <c r="O110" s="190"/>
      <c r="P110" s="191"/>
      <c r="Q110" s="191"/>
      <c r="R110" s="191"/>
      <c r="S110" s="191"/>
      <c r="T110" s="191"/>
      <c r="U110" s="191"/>
    </row>
    <row r="111" spans="1:21" ht="28.9" customHeight="1">
      <c r="A111" s="402"/>
      <c r="B111" s="440"/>
      <c r="C111" s="254" t="s">
        <v>154</v>
      </c>
      <c r="D111" s="246"/>
      <c r="E111" s="247"/>
      <c r="F111" s="248"/>
      <c r="G111" s="249" t="s">
        <v>92</v>
      </c>
      <c r="H111" s="250"/>
      <c r="I111" s="251"/>
      <c r="J111" s="252"/>
      <c r="K111" s="253"/>
      <c r="L111" s="103"/>
      <c r="M111" s="190"/>
      <c r="N111" s="190"/>
      <c r="O111" s="190"/>
      <c r="P111" s="191"/>
      <c r="Q111" s="191"/>
      <c r="R111" s="191"/>
      <c r="S111" s="191"/>
      <c r="T111" s="191"/>
      <c r="U111" s="191"/>
    </row>
    <row r="112" spans="1:21">
      <c r="A112" s="402"/>
      <c r="B112" s="440"/>
      <c r="C112" s="254"/>
      <c r="D112" s="246"/>
      <c r="E112" s="247"/>
      <c r="F112" s="248"/>
      <c r="G112" s="249"/>
      <c r="H112" s="250"/>
      <c r="I112" s="251"/>
      <c r="J112" s="252"/>
      <c r="K112" s="253"/>
      <c r="L112" s="103"/>
      <c r="M112" s="190"/>
      <c r="N112" s="190"/>
      <c r="O112" s="190"/>
      <c r="P112" s="191"/>
      <c r="Q112" s="191"/>
      <c r="R112" s="191"/>
      <c r="S112" s="191"/>
      <c r="T112" s="191"/>
      <c r="U112" s="191"/>
    </row>
    <row r="113" spans="1:21" ht="26.45">
      <c r="A113" s="402"/>
      <c r="B113" s="440"/>
      <c r="C113" s="254" t="s">
        <v>155</v>
      </c>
      <c r="D113" s="246"/>
      <c r="E113" s="247"/>
      <c r="F113" s="589">
        <f>1080*3.9</f>
        <v>4212</v>
      </c>
      <c r="G113" s="249" t="s">
        <v>92</v>
      </c>
      <c r="H113" s="250"/>
      <c r="I113" s="251">
        <f>12.01</f>
        <v>12.01</v>
      </c>
      <c r="J113" s="252">
        <f>F113*I113</f>
        <v>50586.12</v>
      </c>
      <c r="K113" s="253"/>
      <c r="L113" s="103"/>
      <c r="M113" s="190"/>
      <c r="N113" s="190"/>
      <c r="O113" s="190"/>
      <c r="P113" s="191"/>
      <c r="Q113" s="191"/>
      <c r="R113" s="191"/>
      <c r="S113" s="191"/>
      <c r="T113" s="191"/>
      <c r="U113" s="191"/>
    </row>
    <row r="114" spans="1:21">
      <c r="A114" s="402"/>
      <c r="B114" s="440"/>
      <c r="C114" s="254"/>
      <c r="D114" s="246"/>
      <c r="E114" s="247"/>
      <c r="F114" s="248"/>
      <c r="G114" s="249"/>
      <c r="H114" s="250"/>
      <c r="I114" s="251"/>
      <c r="J114" s="252"/>
      <c r="K114" s="253"/>
      <c r="L114" s="103"/>
      <c r="M114" s="190"/>
      <c r="N114" s="190"/>
      <c r="O114" s="190"/>
      <c r="P114" s="191"/>
      <c r="Q114" s="191"/>
      <c r="R114" s="191"/>
      <c r="S114" s="191"/>
      <c r="T114" s="191"/>
      <c r="U114" s="191"/>
    </row>
    <row r="115" spans="1:21">
      <c r="A115" s="402"/>
      <c r="B115" s="440"/>
      <c r="C115" s="254"/>
      <c r="D115" s="246"/>
      <c r="E115" s="247"/>
      <c r="F115" s="248"/>
      <c r="G115" s="249"/>
      <c r="H115" s="250"/>
      <c r="I115" s="251"/>
      <c r="J115" s="252"/>
      <c r="K115" s="253"/>
      <c r="L115" s="103"/>
      <c r="M115" s="190"/>
      <c r="N115" s="190"/>
      <c r="O115" s="190"/>
      <c r="P115" s="191"/>
      <c r="Q115" s="191"/>
      <c r="R115" s="191"/>
      <c r="S115" s="191"/>
      <c r="T115" s="191"/>
      <c r="U115" s="191"/>
    </row>
    <row r="116" spans="1:21">
      <c r="A116" s="401">
        <v>3.2</v>
      </c>
      <c r="B116" s="440"/>
      <c r="C116" s="245" t="s">
        <v>156</v>
      </c>
      <c r="D116" s="246"/>
      <c r="E116" s="247"/>
      <c r="F116" s="248"/>
      <c r="G116" s="249"/>
      <c r="H116" s="250"/>
      <c r="I116" s="251"/>
      <c r="J116" s="252"/>
      <c r="K116" s="253"/>
      <c r="L116" s="103"/>
      <c r="M116" s="190"/>
      <c r="N116" s="190"/>
      <c r="O116" s="190"/>
      <c r="P116" s="191"/>
      <c r="Q116" s="191"/>
      <c r="R116" s="191"/>
      <c r="S116" s="191"/>
      <c r="T116" s="191"/>
      <c r="U116" s="191"/>
    </row>
    <row r="117" spans="1:21">
      <c r="A117" s="401"/>
      <c r="B117" s="440"/>
      <c r="C117" s="245"/>
      <c r="D117" s="246"/>
      <c r="E117" s="247"/>
      <c r="F117" s="248"/>
      <c r="G117" s="249"/>
      <c r="H117" s="250"/>
      <c r="I117" s="251"/>
      <c r="J117" s="252"/>
      <c r="K117" s="253"/>
      <c r="L117" s="103"/>
      <c r="M117" s="190"/>
      <c r="N117" s="190"/>
      <c r="O117" s="190"/>
      <c r="P117" s="191"/>
      <c r="Q117" s="191"/>
      <c r="R117" s="191"/>
      <c r="S117" s="191"/>
      <c r="T117" s="191"/>
      <c r="U117" s="191"/>
    </row>
    <row r="118" spans="1:21">
      <c r="A118" s="402"/>
      <c r="B118" s="440"/>
      <c r="C118" s="254" t="s">
        <v>157</v>
      </c>
      <c r="D118" s="246"/>
      <c r="E118" s="247"/>
      <c r="F118" s="248">
        <v>2</v>
      </c>
      <c r="G118" s="249" t="s">
        <v>131</v>
      </c>
      <c r="H118" s="250"/>
      <c r="I118" s="251">
        <f>(53000/25000*3041)</f>
        <v>6446.92</v>
      </c>
      <c r="J118" s="252">
        <f>F118*I118</f>
        <v>12893.84</v>
      </c>
      <c r="K118" s="253" t="s">
        <v>158</v>
      </c>
      <c r="L118" s="103"/>
      <c r="M118" s="190"/>
      <c r="N118" s="190"/>
      <c r="O118" s="190"/>
      <c r="P118" s="191"/>
      <c r="Q118" s="191"/>
      <c r="R118" s="191"/>
      <c r="S118" s="191"/>
      <c r="T118" s="191"/>
      <c r="U118" s="191"/>
    </row>
    <row r="119" spans="1:21">
      <c r="A119" s="402"/>
      <c r="B119" s="440"/>
      <c r="C119" s="254"/>
      <c r="D119" s="246"/>
      <c r="E119" s="247"/>
      <c r="F119" s="248"/>
      <c r="G119" s="249"/>
      <c r="H119" s="250"/>
      <c r="I119" s="251"/>
      <c r="J119" s="252"/>
      <c r="K119" s="253"/>
      <c r="L119" s="103"/>
      <c r="M119" s="190"/>
      <c r="N119" s="190"/>
      <c r="O119" s="190"/>
      <c r="P119" s="191"/>
      <c r="Q119" s="191"/>
      <c r="R119" s="191"/>
      <c r="S119" s="191"/>
      <c r="T119" s="191"/>
      <c r="U119" s="191"/>
    </row>
    <row r="120" spans="1:21" ht="13.9">
      <c r="A120" s="402"/>
      <c r="B120" s="440"/>
      <c r="C120" s="600" t="s">
        <v>159</v>
      </c>
      <c r="D120" s="246"/>
      <c r="E120" s="247"/>
      <c r="F120" s="248">
        <f>3041</f>
        <v>3041</v>
      </c>
      <c r="G120" s="249" t="s">
        <v>92</v>
      </c>
      <c r="H120" s="250"/>
      <c r="I120" s="251">
        <f>11</f>
        <v>11</v>
      </c>
      <c r="J120" s="252">
        <f>F120*I120</f>
        <v>33451</v>
      </c>
      <c r="K120" s="253"/>
      <c r="L120" s="103"/>
      <c r="M120" s="190"/>
      <c r="N120" s="190"/>
      <c r="O120" s="190"/>
      <c r="P120" s="191"/>
      <c r="Q120" s="191"/>
      <c r="R120" s="191"/>
      <c r="S120" s="191"/>
      <c r="T120" s="191"/>
      <c r="U120" s="191"/>
    </row>
    <row r="121" spans="1:21">
      <c r="A121" s="402"/>
      <c r="B121" s="440"/>
      <c r="C121" s="403"/>
      <c r="D121" s="246"/>
      <c r="E121" s="247"/>
      <c r="F121" s="248"/>
      <c r="G121" s="249"/>
      <c r="H121" s="250"/>
      <c r="I121" s="251"/>
      <c r="J121" s="252"/>
      <c r="K121" s="253"/>
      <c r="L121" s="103"/>
      <c r="M121" s="190"/>
      <c r="N121" s="190"/>
      <c r="O121" s="190"/>
      <c r="P121" s="191"/>
      <c r="Q121" s="191"/>
      <c r="R121" s="191"/>
      <c r="S121" s="191"/>
      <c r="T121" s="191"/>
      <c r="U121" s="191"/>
    </row>
    <row r="122" spans="1:21" ht="13.9">
      <c r="A122" s="402"/>
      <c r="B122" s="440"/>
      <c r="C122" s="600" t="s">
        <v>160</v>
      </c>
      <c r="D122" s="246"/>
      <c r="E122" s="247"/>
      <c r="F122" s="248">
        <f>2441</f>
        <v>2441</v>
      </c>
      <c r="G122" s="249" t="s">
        <v>92</v>
      </c>
      <c r="H122" s="250"/>
      <c r="I122" s="251">
        <f>41</f>
        <v>41</v>
      </c>
      <c r="J122" s="252">
        <f>F122*I122</f>
        <v>100081</v>
      </c>
      <c r="K122" s="253"/>
      <c r="L122" s="103"/>
      <c r="M122" s="190"/>
      <c r="N122" s="190"/>
      <c r="O122" s="190"/>
      <c r="P122" s="191"/>
      <c r="Q122" s="191"/>
      <c r="R122" s="191"/>
      <c r="S122" s="191"/>
      <c r="T122" s="191"/>
      <c r="U122" s="191"/>
    </row>
    <row r="123" spans="1:21" ht="13.9">
      <c r="A123" s="402"/>
      <c r="B123" s="440"/>
      <c r="C123" s="600"/>
      <c r="D123" s="246"/>
      <c r="E123" s="247"/>
      <c r="F123" s="248"/>
      <c r="G123" s="249"/>
      <c r="H123" s="250"/>
      <c r="I123" s="251"/>
      <c r="J123" s="252"/>
      <c r="K123" s="253"/>
      <c r="L123" s="103"/>
      <c r="M123" s="190"/>
      <c r="N123" s="190"/>
      <c r="O123" s="190"/>
      <c r="P123" s="191"/>
      <c r="Q123" s="191"/>
      <c r="R123" s="191"/>
      <c r="S123" s="191"/>
      <c r="T123" s="191"/>
      <c r="U123" s="191"/>
    </row>
    <row r="124" spans="1:21" ht="13.9">
      <c r="A124" s="402"/>
      <c r="B124" s="440"/>
      <c r="C124" s="601" t="s">
        <v>161</v>
      </c>
      <c r="D124" s="246"/>
      <c r="E124" s="247"/>
      <c r="F124" s="248">
        <v>600</v>
      </c>
      <c r="G124" s="249" t="s">
        <v>92</v>
      </c>
      <c r="H124" s="250"/>
      <c r="I124" s="251">
        <f>46</f>
        <v>46</v>
      </c>
      <c r="J124" s="252">
        <f>F124*I124</f>
        <v>27600</v>
      </c>
      <c r="K124" s="253"/>
      <c r="L124" s="103"/>
      <c r="M124" s="190"/>
      <c r="N124" s="190"/>
      <c r="O124" s="190"/>
      <c r="P124" s="191"/>
      <c r="Q124" s="191"/>
      <c r="R124" s="191"/>
      <c r="S124" s="191"/>
      <c r="T124" s="191"/>
      <c r="U124" s="191"/>
    </row>
    <row r="125" spans="1:21" ht="13.9">
      <c r="A125" s="402"/>
      <c r="B125" s="440"/>
      <c r="C125" s="600"/>
      <c r="D125" s="246"/>
      <c r="E125" s="247"/>
      <c r="F125" s="248"/>
      <c r="G125" s="249"/>
      <c r="H125" s="250"/>
      <c r="I125" s="251"/>
      <c r="J125" s="252"/>
      <c r="K125" s="253"/>
      <c r="L125" s="103"/>
      <c r="M125" s="190"/>
      <c r="N125" s="190"/>
      <c r="O125" s="190"/>
      <c r="P125" s="191"/>
      <c r="Q125" s="191"/>
      <c r="R125" s="191"/>
      <c r="S125" s="191"/>
      <c r="T125" s="191"/>
      <c r="U125" s="191"/>
    </row>
    <row r="126" spans="1:21">
      <c r="A126" s="401">
        <v>3.3</v>
      </c>
      <c r="B126" s="440"/>
      <c r="C126" s="245" t="s">
        <v>162</v>
      </c>
      <c r="D126" s="246"/>
      <c r="E126" s="247"/>
      <c r="F126" s="248"/>
      <c r="G126" s="249"/>
      <c r="H126" s="250"/>
      <c r="I126" s="251"/>
      <c r="J126" s="252"/>
      <c r="K126" s="253"/>
      <c r="L126" s="103"/>
      <c r="M126" s="190"/>
      <c r="N126" s="190"/>
      <c r="O126" s="190"/>
      <c r="P126" s="191"/>
      <c r="Q126" s="191"/>
      <c r="R126" s="191"/>
      <c r="S126" s="191"/>
      <c r="T126" s="191"/>
      <c r="U126" s="191"/>
    </row>
    <row r="127" spans="1:21">
      <c r="A127" s="402"/>
      <c r="B127" s="440"/>
      <c r="C127" s="254"/>
      <c r="D127" s="246"/>
      <c r="E127" s="247"/>
      <c r="F127" s="248"/>
      <c r="G127" s="249"/>
      <c r="H127" s="250"/>
      <c r="I127" s="251"/>
      <c r="J127" s="252"/>
      <c r="K127" s="253"/>
      <c r="L127" s="103"/>
      <c r="M127" s="190"/>
      <c r="N127" s="190"/>
      <c r="O127" s="190"/>
      <c r="P127" s="191"/>
      <c r="Q127" s="191"/>
      <c r="R127" s="191"/>
      <c r="S127" s="191"/>
      <c r="T127" s="191"/>
      <c r="U127" s="191"/>
    </row>
    <row r="128" spans="1:21" ht="13.9">
      <c r="A128" s="402" t="s">
        <v>163</v>
      </c>
      <c r="B128" s="440"/>
      <c r="C128" s="600" t="s">
        <v>164</v>
      </c>
      <c r="D128" s="246"/>
      <c r="E128" s="247"/>
      <c r="F128" s="248">
        <f>3041</f>
        <v>3041</v>
      </c>
      <c r="G128" s="249" t="s">
        <v>92</v>
      </c>
      <c r="H128" s="250"/>
      <c r="I128" s="251">
        <f>100</f>
        <v>100</v>
      </c>
      <c r="J128" s="252">
        <f>F128*I128</f>
        <v>304100</v>
      </c>
      <c r="K128" s="253"/>
      <c r="L128" s="103"/>
      <c r="M128" s="190"/>
      <c r="N128" s="190"/>
      <c r="O128" s="190"/>
      <c r="P128" s="191"/>
      <c r="Q128" s="191"/>
      <c r="R128" s="191"/>
      <c r="S128" s="191"/>
      <c r="T128" s="191"/>
      <c r="U128" s="191"/>
    </row>
    <row r="129" spans="1:21">
      <c r="A129" s="402"/>
      <c r="B129" s="440"/>
      <c r="C129" s="254"/>
      <c r="D129" s="246"/>
      <c r="E129" s="247"/>
      <c r="F129" s="248"/>
      <c r="G129" s="249"/>
      <c r="H129" s="250"/>
      <c r="I129" s="251"/>
      <c r="J129" s="252"/>
      <c r="K129" s="253"/>
      <c r="L129" s="103"/>
      <c r="M129" s="190"/>
      <c r="N129" s="190"/>
      <c r="O129" s="190"/>
      <c r="P129" s="191"/>
      <c r="Q129" s="191"/>
      <c r="R129" s="191"/>
      <c r="S129" s="191"/>
      <c r="T129" s="191"/>
      <c r="U129" s="191"/>
    </row>
    <row r="130" spans="1:21" ht="13.9" thickBot="1">
      <c r="A130" s="405">
        <v>4</v>
      </c>
      <c r="B130" s="441"/>
      <c r="C130" s="390" t="s">
        <v>165</v>
      </c>
      <c r="D130" s="391"/>
      <c r="E130" s="392"/>
      <c r="F130" s="393"/>
      <c r="G130" s="394"/>
      <c r="H130" s="395"/>
      <c r="I130" s="396"/>
      <c r="J130" s="397"/>
      <c r="K130" s="555">
        <f>SUM(J132:J151)</f>
        <v>980000</v>
      </c>
      <c r="L130" s="103"/>
      <c r="M130" s="190"/>
      <c r="N130" s="190"/>
      <c r="O130" s="190"/>
      <c r="P130" s="191"/>
      <c r="Q130" s="191"/>
      <c r="R130" s="191"/>
      <c r="S130" s="191"/>
      <c r="T130" s="191"/>
      <c r="U130" s="191"/>
    </row>
    <row r="131" spans="1:21" ht="13.9" thickTop="1">
      <c r="A131" s="405"/>
      <c r="B131" s="441"/>
      <c r="C131" s="390"/>
      <c r="D131" s="391"/>
      <c r="E131" s="392"/>
      <c r="F131" s="393"/>
      <c r="G131" s="394"/>
      <c r="H131" s="395"/>
      <c r="I131" s="396"/>
      <c r="J131" s="397"/>
      <c r="K131" s="398"/>
      <c r="L131" s="103"/>
      <c r="M131" s="190"/>
      <c r="N131" s="190"/>
      <c r="O131" s="190"/>
      <c r="P131" s="191"/>
      <c r="Q131" s="191"/>
      <c r="R131" s="191"/>
      <c r="S131" s="191"/>
      <c r="T131" s="191"/>
      <c r="U131" s="191"/>
    </row>
    <row r="132" spans="1:21" ht="13.9">
      <c r="A132" s="405">
        <v>4.0999999999999996</v>
      </c>
      <c r="B132" s="441"/>
      <c r="C132" s="406" t="s">
        <v>166</v>
      </c>
      <c r="D132" s="391"/>
      <c r="E132" s="392"/>
      <c r="F132" s="393"/>
      <c r="G132" s="394"/>
      <c r="H132" s="395"/>
      <c r="I132" s="396"/>
      <c r="J132" s="397"/>
      <c r="K132" s="398"/>
      <c r="L132" s="103"/>
      <c r="M132" s="190"/>
      <c r="N132" s="190"/>
      <c r="O132" s="190"/>
      <c r="P132" s="191"/>
      <c r="Q132" s="191"/>
      <c r="R132" s="191"/>
      <c r="S132" s="191"/>
      <c r="T132" s="191"/>
      <c r="U132" s="191"/>
    </row>
    <row r="133" spans="1:21" ht="13.9">
      <c r="A133" s="405"/>
      <c r="B133" s="441"/>
      <c r="C133" s="406"/>
      <c r="D133" s="391"/>
      <c r="E133" s="392"/>
      <c r="F133" s="393"/>
      <c r="G133" s="394"/>
      <c r="H133" s="395"/>
      <c r="I133" s="396"/>
      <c r="J133" s="397"/>
      <c r="K133" s="398"/>
      <c r="L133" s="103"/>
      <c r="M133" s="190"/>
      <c r="N133" s="190"/>
      <c r="O133" s="190"/>
      <c r="P133" s="191"/>
      <c r="Q133" s="191"/>
      <c r="R133" s="191"/>
      <c r="S133" s="191"/>
      <c r="T133" s="191"/>
      <c r="U133" s="191"/>
    </row>
    <row r="134" spans="1:21" s="414" customFormat="1" ht="41.45">
      <c r="A134" s="415" t="s">
        <v>167</v>
      </c>
      <c r="B134" s="441"/>
      <c r="C134" s="602" t="s">
        <v>168</v>
      </c>
      <c r="D134" s="408"/>
      <c r="E134" s="392"/>
      <c r="F134" s="393"/>
      <c r="G134" s="394" t="s">
        <v>108</v>
      </c>
      <c r="H134" s="394"/>
      <c r="I134" s="407">
        <v>200000</v>
      </c>
      <c r="J134" s="409">
        <f>I134</f>
        <v>200000</v>
      </c>
      <c r="K134" s="410" t="s">
        <v>169</v>
      </c>
      <c r="L134" s="411"/>
      <c r="M134" s="412"/>
      <c r="N134" s="412"/>
      <c r="O134" s="412"/>
      <c r="P134" s="413"/>
      <c r="Q134" s="413"/>
      <c r="R134" s="413"/>
      <c r="S134" s="413"/>
      <c r="T134" s="413"/>
      <c r="U134" s="413"/>
    </row>
    <row r="135" spans="1:21" ht="13.9">
      <c r="A135" s="418"/>
      <c r="B135" s="441"/>
      <c r="C135" s="603" t="s">
        <v>170</v>
      </c>
      <c r="D135" s="391"/>
      <c r="E135" s="392"/>
      <c r="F135" s="393"/>
      <c r="G135" s="394" t="s">
        <v>108</v>
      </c>
      <c r="H135" s="395"/>
      <c r="I135" s="396">
        <v>50000</v>
      </c>
      <c r="J135" s="397">
        <f>I135</f>
        <v>50000</v>
      </c>
      <c r="K135" s="398" t="s">
        <v>171</v>
      </c>
      <c r="L135" s="103"/>
      <c r="M135" s="190"/>
      <c r="N135" s="190"/>
      <c r="O135" s="190"/>
      <c r="P135" s="191"/>
      <c r="Q135" s="191"/>
      <c r="R135" s="191"/>
      <c r="S135" s="191"/>
      <c r="T135" s="191"/>
      <c r="U135" s="191"/>
    </row>
    <row r="136" spans="1:21" ht="13.9">
      <c r="A136" s="418"/>
      <c r="B136" s="441"/>
      <c r="C136" s="603"/>
      <c r="D136" s="391"/>
      <c r="E136" s="392"/>
      <c r="F136" s="393"/>
      <c r="G136" s="394"/>
      <c r="H136" s="395"/>
      <c r="I136" s="396"/>
      <c r="J136" s="397"/>
      <c r="K136" s="398"/>
      <c r="L136" s="103"/>
      <c r="M136" s="190"/>
      <c r="N136" s="190"/>
      <c r="O136" s="190"/>
      <c r="P136" s="191"/>
      <c r="Q136" s="191"/>
      <c r="R136" s="191"/>
      <c r="S136" s="191"/>
      <c r="T136" s="191"/>
      <c r="U136" s="191"/>
    </row>
    <row r="137" spans="1:21" ht="13.9">
      <c r="A137" s="418"/>
      <c r="B137" s="441"/>
      <c r="C137" s="604" t="s">
        <v>172</v>
      </c>
      <c r="D137" s="391"/>
      <c r="E137" s="392"/>
      <c r="F137" s="393"/>
      <c r="G137" s="394" t="s">
        <v>108</v>
      </c>
      <c r="H137" s="395"/>
      <c r="I137" s="407">
        <v>100000</v>
      </c>
      <c r="J137" s="397">
        <f>I137</f>
        <v>100000</v>
      </c>
      <c r="K137" s="398" t="s">
        <v>169</v>
      </c>
      <c r="L137" s="103"/>
      <c r="M137" s="190"/>
      <c r="N137" s="190"/>
      <c r="O137" s="190"/>
      <c r="P137" s="191"/>
      <c r="Q137" s="191"/>
      <c r="R137" s="191"/>
      <c r="S137" s="191"/>
      <c r="T137" s="191"/>
      <c r="U137" s="191"/>
    </row>
    <row r="138" spans="1:21" ht="13.9">
      <c r="A138" s="418"/>
      <c r="B138" s="441"/>
      <c r="C138" s="604"/>
      <c r="D138" s="391"/>
      <c r="E138" s="392"/>
      <c r="F138" s="393"/>
      <c r="G138" s="394"/>
      <c r="H138" s="395"/>
      <c r="I138" s="407"/>
      <c r="J138" s="397"/>
      <c r="K138" s="398"/>
      <c r="L138" s="103"/>
      <c r="M138" s="190"/>
      <c r="N138" s="190"/>
      <c r="O138" s="190"/>
      <c r="P138" s="191"/>
      <c r="Q138" s="191"/>
      <c r="R138" s="191"/>
      <c r="S138" s="191"/>
      <c r="T138" s="191"/>
      <c r="U138" s="191"/>
    </row>
    <row r="139" spans="1:21" ht="13.9">
      <c r="A139" s="404" t="s">
        <v>173</v>
      </c>
      <c r="B139" s="441"/>
      <c r="C139" s="603" t="s">
        <v>174</v>
      </c>
      <c r="D139" s="391"/>
      <c r="E139" s="392"/>
      <c r="F139" s="393"/>
      <c r="G139" s="394" t="s">
        <v>108</v>
      </c>
      <c r="H139" s="395"/>
      <c r="I139" s="396">
        <v>30000</v>
      </c>
      <c r="J139" s="397">
        <v>30000</v>
      </c>
      <c r="K139" s="398" t="s">
        <v>175</v>
      </c>
      <c r="L139" s="103"/>
      <c r="M139" s="190"/>
      <c r="N139" s="190"/>
      <c r="O139" s="190"/>
      <c r="P139" s="191"/>
      <c r="Q139" s="191"/>
      <c r="R139" s="191"/>
      <c r="S139" s="191"/>
      <c r="T139" s="191"/>
      <c r="U139" s="191"/>
    </row>
    <row r="140" spans="1:21" ht="13.9">
      <c r="A140" s="418"/>
      <c r="B140" s="441"/>
      <c r="C140" s="603"/>
      <c r="D140" s="391"/>
      <c r="E140" s="392"/>
      <c r="F140" s="393"/>
      <c r="G140" s="394"/>
      <c r="H140" s="395"/>
      <c r="I140" s="396"/>
      <c r="J140" s="397"/>
      <c r="K140" s="398"/>
      <c r="L140" s="103"/>
      <c r="M140" s="190"/>
      <c r="N140" s="190"/>
      <c r="O140" s="190"/>
      <c r="P140" s="191"/>
      <c r="Q140" s="191"/>
      <c r="R140" s="191"/>
      <c r="S140" s="191"/>
      <c r="T140" s="191"/>
      <c r="U140" s="191"/>
    </row>
    <row r="141" spans="1:21" ht="26.45">
      <c r="A141" s="404" t="s">
        <v>176</v>
      </c>
      <c r="B141" s="441"/>
      <c r="C141" s="416" t="s">
        <v>177</v>
      </c>
      <c r="D141" s="391"/>
      <c r="E141" s="392"/>
      <c r="F141" s="393"/>
      <c r="G141" s="394" t="s">
        <v>108</v>
      </c>
      <c r="H141" s="395"/>
      <c r="I141" s="396">
        <v>100000</v>
      </c>
      <c r="J141" s="397">
        <f>I141</f>
        <v>100000</v>
      </c>
      <c r="K141" s="398" t="s">
        <v>175</v>
      </c>
      <c r="L141" s="103"/>
      <c r="M141" s="190"/>
      <c r="N141" s="190"/>
      <c r="O141" s="190"/>
      <c r="P141" s="191"/>
      <c r="Q141" s="191"/>
      <c r="R141" s="191"/>
      <c r="S141" s="191"/>
      <c r="T141" s="191"/>
      <c r="U141" s="191"/>
    </row>
    <row r="142" spans="1:21">
      <c r="A142" s="404"/>
      <c r="B142" s="441"/>
      <c r="C142" s="416"/>
      <c r="D142" s="391"/>
      <c r="E142" s="392"/>
      <c r="F142" s="393"/>
      <c r="G142" s="394"/>
      <c r="H142" s="395"/>
      <c r="I142" s="396"/>
      <c r="J142" s="397"/>
      <c r="K142" s="398"/>
      <c r="L142" s="103"/>
      <c r="M142" s="190"/>
      <c r="N142" s="190"/>
      <c r="O142" s="190"/>
      <c r="P142" s="191"/>
      <c r="Q142" s="191"/>
      <c r="R142" s="191"/>
      <c r="S142" s="191"/>
      <c r="T142" s="191"/>
      <c r="U142" s="191"/>
    </row>
    <row r="143" spans="1:21" ht="26.45">
      <c r="A143" s="404" t="s">
        <v>178</v>
      </c>
      <c r="B143" s="441"/>
      <c r="C143" s="417" t="s">
        <v>179</v>
      </c>
      <c r="D143" s="391"/>
      <c r="E143" s="392"/>
      <c r="F143" s="393"/>
      <c r="G143" s="394" t="s">
        <v>108</v>
      </c>
      <c r="H143" s="395"/>
      <c r="I143" s="396">
        <v>300000</v>
      </c>
      <c r="J143" s="397">
        <f>I143</f>
        <v>300000</v>
      </c>
      <c r="K143" s="398" t="s">
        <v>175</v>
      </c>
      <c r="L143" s="103"/>
      <c r="M143" s="190"/>
      <c r="N143" s="190"/>
      <c r="O143" s="190"/>
      <c r="P143" s="191"/>
      <c r="Q143" s="191"/>
      <c r="R143" s="191"/>
      <c r="S143" s="191"/>
      <c r="T143" s="191"/>
      <c r="U143" s="191"/>
    </row>
    <row r="144" spans="1:21">
      <c r="A144" s="404"/>
      <c r="B144" s="441"/>
      <c r="C144" s="417"/>
      <c r="D144" s="391"/>
      <c r="E144" s="392"/>
      <c r="F144" s="393"/>
      <c r="G144" s="394"/>
      <c r="H144" s="395"/>
      <c r="I144" s="396"/>
      <c r="J144" s="397"/>
      <c r="K144" s="398"/>
      <c r="L144" s="103"/>
      <c r="M144" s="190"/>
      <c r="N144" s="190"/>
      <c r="O144" s="190"/>
      <c r="P144" s="191"/>
      <c r="Q144" s="191"/>
      <c r="R144" s="191"/>
      <c r="S144" s="191"/>
      <c r="T144" s="191"/>
      <c r="U144" s="191"/>
    </row>
    <row r="145" spans="1:21">
      <c r="A145" s="404"/>
      <c r="B145" s="441"/>
      <c r="C145" s="417" t="s">
        <v>180</v>
      </c>
      <c r="D145" s="391"/>
      <c r="E145" s="392"/>
      <c r="F145" s="393"/>
      <c r="G145" s="394" t="s">
        <v>108</v>
      </c>
      <c r="H145" s="395"/>
      <c r="I145" s="396">
        <v>30000</v>
      </c>
      <c r="J145" s="397">
        <v>30000</v>
      </c>
      <c r="K145" s="398" t="s">
        <v>181</v>
      </c>
      <c r="L145" s="103"/>
      <c r="M145" s="190"/>
      <c r="N145" s="190"/>
      <c r="O145" s="190"/>
      <c r="P145" s="191"/>
      <c r="Q145" s="191"/>
      <c r="R145" s="191"/>
      <c r="S145" s="191"/>
      <c r="T145" s="191"/>
      <c r="U145" s="191"/>
    </row>
    <row r="146" spans="1:21">
      <c r="A146" s="404"/>
      <c r="B146" s="441"/>
      <c r="C146" s="417"/>
      <c r="D146" s="391"/>
      <c r="E146" s="392"/>
      <c r="F146" s="393"/>
      <c r="G146" s="394"/>
      <c r="H146" s="395"/>
      <c r="I146" s="396"/>
      <c r="J146" s="397"/>
      <c r="K146" s="398"/>
      <c r="L146" s="103"/>
      <c r="M146" s="190"/>
      <c r="N146" s="190"/>
      <c r="O146" s="190"/>
      <c r="P146" s="191"/>
      <c r="Q146" s="191"/>
      <c r="R146" s="191"/>
      <c r="S146" s="191"/>
      <c r="T146" s="191"/>
      <c r="U146" s="191"/>
    </row>
    <row r="147" spans="1:21">
      <c r="A147" s="404" t="s">
        <v>182</v>
      </c>
      <c r="B147" s="441"/>
      <c r="C147" s="417" t="s">
        <v>183</v>
      </c>
      <c r="D147" s="391"/>
      <c r="E147" s="392"/>
      <c r="F147" s="393"/>
      <c r="G147" s="394" t="s">
        <v>108</v>
      </c>
      <c r="H147" s="395"/>
      <c r="I147" s="396">
        <v>100000</v>
      </c>
      <c r="J147" s="397">
        <f>I147</f>
        <v>100000</v>
      </c>
      <c r="K147" s="398" t="s">
        <v>175</v>
      </c>
      <c r="L147" s="103"/>
      <c r="M147" s="190"/>
      <c r="N147" s="190"/>
      <c r="O147" s="190"/>
      <c r="P147" s="191"/>
      <c r="Q147" s="191"/>
      <c r="R147" s="191"/>
      <c r="S147" s="191"/>
      <c r="T147" s="191"/>
      <c r="U147" s="191"/>
    </row>
    <row r="148" spans="1:21">
      <c r="A148" s="404"/>
      <c r="B148" s="441"/>
      <c r="C148" s="417"/>
      <c r="D148" s="391"/>
      <c r="E148" s="392"/>
      <c r="F148" s="393"/>
      <c r="G148" s="394"/>
      <c r="H148" s="395"/>
      <c r="I148" s="396"/>
      <c r="J148" s="397"/>
      <c r="K148" s="398"/>
      <c r="L148" s="103"/>
      <c r="M148" s="190"/>
      <c r="N148" s="190"/>
      <c r="O148" s="190"/>
      <c r="P148" s="191"/>
      <c r="Q148" s="191"/>
      <c r="R148" s="191"/>
      <c r="S148" s="191"/>
      <c r="T148" s="191"/>
      <c r="U148" s="191"/>
    </row>
    <row r="149" spans="1:21" ht="26.45">
      <c r="A149" s="404"/>
      <c r="B149" s="441"/>
      <c r="C149" s="417" t="s">
        <v>184</v>
      </c>
      <c r="D149" s="391"/>
      <c r="E149" s="392"/>
      <c r="F149" s="393"/>
      <c r="G149" s="394" t="s">
        <v>108</v>
      </c>
      <c r="H149" s="395"/>
      <c r="I149" s="396">
        <v>50000</v>
      </c>
      <c r="J149" s="397">
        <f>I149</f>
        <v>50000</v>
      </c>
      <c r="K149" s="398" t="s">
        <v>181</v>
      </c>
      <c r="L149" s="103"/>
      <c r="M149" s="190"/>
      <c r="N149" s="190"/>
      <c r="O149" s="190"/>
      <c r="P149" s="191"/>
      <c r="Q149" s="191"/>
      <c r="R149" s="191"/>
      <c r="S149" s="191"/>
      <c r="T149" s="191"/>
      <c r="U149" s="191"/>
    </row>
    <row r="150" spans="1:21">
      <c r="A150" s="404"/>
      <c r="B150" s="441"/>
      <c r="C150" s="417"/>
      <c r="D150" s="391"/>
      <c r="E150" s="392"/>
      <c r="F150" s="393"/>
      <c r="G150" s="394"/>
      <c r="H150" s="395"/>
      <c r="I150" s="396"/>
      <c r="J150" s="397"/>
      <c r="K150" s="398"/>
      <c r="L150" s="103"/>
      <c r="M150" s="190"/>
      <c r="N150" s="190"/>
      <c r="O150" s="190"/>
      <c r="P150" s="191"/>
      <c r="Q150" s="191"/>
      <c r="R150" s="191"/>
      <c r="S150" s="191"/>
      <c r="T150" s="191"/>
      <c r="U150" s="191"/>
    </row>
    <row r="151" spans="1:21">
      <c r="A151" s="404" t="s">
        <v>185</v>
      </c>
      <c r="B151" s="441"/>
      <c r="C151" s="416" t="s">
        <v>186</v>
      </c>
      <c r="D151" s="391"/>
      <c r="E151" s="392"/>
      <c r="F151" s="393"/>
      <c r="G151" s="394" t="s">
        <v>108</v>
      </c>
      <c r="H151" s="395"/>
      <c r="I151" s="396">
        <v>20000</v>
      </c>
      <c r="J151" s="397">
        <f>I151</f>
        <v>20000</v>
      </c>
      <c r="K151" s="398" t="s">
        <v>175</v>
      </c>
      <c r="L151" s="103"/>
      <c r="M151" s="190"/>
      <c r="N151" s="190"/>
      <c r="O151" s="190"/>
      <c r="P151" s="191"/>
      <c r="Q151" s="191"/>
      <c r="R151" s="191"/>
      <c r="S151" s="191"/>
      <c r="T151" s="191"/>
      <c r="U151" s="191"/>
    </row>
    <row r="152" spans="1:21" ht="13.9" thickBot="1">
      <c r="A152" s="486">
        <v>5</v>
      </c>
      <c r="B152" s="488"/>
      <c r="C152" s="448" t="s">
        <v>187</v>
      </c>
      <c r="D152" s="449"/>
      <c r="E152" s="450"/>
      <c r="F152" s="451"/>
      <c r="G152" s="452"/>
      <c r="H152" s="453"/>
      <c r="I152" s="454"/>
      <c r="J152" s="455"/>
      <c r="K152" s="554">
        <f>SUM(J153:J246)</f>
        <v>2273241.9469696973</v>
      </c>
      <c r="L152" s="103"/>
      <c r="M152" s="190"/>
      <c r="N152" s="190"/>
      <c r="O152" s="190"/>
      <c r="P152" s="191"/>
      <c r="Q152" s="191"/>
      <c r="R152" s="191"/>
      <c r="S152" s="191"/>
      <c r="T152" s="191"/>
      <c r="U152" s="191"/>
    </row>
    <row r="153" spans="1:21" ht="13.9" thickTop="1">
      <c r="A153" s="492"/>
      <c r="B153" s="488"/>
      <c r="C153" s="457"/>
      <c r="D153" s="458"/>
      <c r="E153" s="459"/>
      <c r="F153" s="503"/>
      <c r="G153" s="460"/>
      <c r="H153" s="461"/>
      <c r="I153" s="462"/>
      <c r="J153" s="463"/>
      <c r="K153" s="456"/>
      <c r="L153" s="103"/>
      <c r="M153" s="190"/>
      <c r="N153" s="190"/>
      <c r="O153" s="190"/>
      <c r="P153" s="191"/>
      <c r="Q153" s="191"/>
      <c r="R153" s="191"/>
      <c r="S153" s="191"/>
      <c r="T153" s="191"/>
      <c r="U153" s="191"/>
    </row>
    <row r="154" spans="1:21">
      <c r="A154" s="486">
        <v>5.0999999999999996</v>
      </c>
      <c r="B154" s="488"/>
      <c r="C154" s="464" t="s">
        <v>188</v>
      </c>
      <c r="D154" s="465"/>
      <c r="E154" s="466"/>
      <c r="F154" s="504"/>
      <c r="G154" s="467"/>
      <c r="H154" s="468"/>
      <c r="I154" s="592"/>
      <c r="J154" s="463"/>
      <c r="K154" s="456"/>
      <c r="L154" s="103"/>
      <c r="M154" s="190"/>
      <c r="N154" s="190"/>
      <c r="O154" s="190"/>
      <c r="P154" s="191"/>
      <c r="Q154" s="191"/>
      <c r="R154" s="191"/>
      <c r="S154" s="191"/>
      <c r="T154" s="191"/>
      <c r="U154" s="191"/>
    </row>
    <row r="155" spans="1:21">
      <c r="A155" s="492"/>
      <c r="B155" s="488"/>
      <c r="C155" s="469"/>
      <c r="D155" s="449"/>
      <c r="E155" s="466"/>
      <c r="F155" s="505"/>
      <c r="G155" s="466"/>
      <c r="H155" s="470"/>
      <c r="I155" s="593"/>
      <c r="J155" s="463"/>
      <c r="K155" s="456"/>
      <c r="L155" s="103"/>
      <c r="M155" s="190"/>
      <c r="N155" s="190"/>
      <c r="O155" s="190"/>
      <c r="P155" s="191"/>
      <c r="Q155" s="191"/>
      <c r="R155" s="191"/>
      <c r="S155" s="191"/>
      <c r="T155" s="191"/>
      <c r="U155" s="191"/>
    </row>
    <row r="156" spans="1:21" ht="40.9" customHeight="1">
      <c r="A156" s="493" t="s">
        <v>189</v>
      </c>
      <c r="B156" s="489"/>
      <c r="C156" s="471" t="s">
        <v>190</v>
      </c>
      <c r="D156" s="472"/>
      <c r="E156" s="473"/>
      <c r="F156" s="506">
        <v>90</v>
      </c>
      <c r="G156" s="474" t="s">
        <v>92</v>
      </c>
      <c r="H156" s="475"/>
      <c r="I156" s="594">
        <f>21.5</f>
        <v>21.5</v>
      </c>
      <c r="J156" s="477">
        <f>F156*I156</f>
        <v>1935</v>
      </c>
      <c r="K156" s="478"/>
      <c r="L156" s="411"/>
      <c r="M156" s="190"/>
      <c r="N156" s="190"/>
      <c r="O156" s="190"/>
      <c r="P156" s="191"/>
      <c r="Q156" s="191"/>
      <c r="R156" s="191"/>
      <c r="S156" s="191"/>
      <c r="T156" s="191"/>
      <c r="U156" s="191"/>
    </row>
    <row r="157" spans="1:21">
      <c r="A157" s="492"/>
      <c r="B157" s="488"/>
      <c r="C157" s="471" t="s">
        <v>191</v>
      </c>
      <c r="D157" s="479"/>
      <c r="E157" s="467"/>
      <c r="F157" s="507"/>
      <c r="G157" s="476"/>
      <c r="H157" s="480"/>
      <c r="I157" s="594"/>
      <c r="J157" s="463"/>
      <c r="K157" s="456"/>
      <c r="L157" s="103"/>
      <c r="M157" s="190"/>
      <c r="N157" s="190"/>
      <c r="O157" s="190"/>
      <c r="P157" s="191"/>
      <c r="Q157" s="191"/>
      <c r="R157" s="191"/>
      <c r="S157" s="191"/>
      <c r="T157" s="191"/>
      <c r="U157" s="191"/>
    </row>
    <row r="158" spans="1:21">
      <c r="A158" s="492"/>
      <c r="B158" s="488"/>
      <c r="C158" s="471"/>
      <c r="D158" s="479"/>
      <c r="E158" s="467"/>
      <c r="F158" s="507"/>
      <c r="G158" s="476"/>
      <c r="H158" s="480"/>
      <c r="I158" s="594"/>
      <c r="J158" s="463"/>
      <c r="K158" s="456"/>
      <c r="L158" s="103"/>
      <c r="M158" s="190"/>
      <c r="N158" s="190"/>
      <c r="O158" s="190"/>
      <c r="P158" s="191"/>
      <c r="Q158" s="191"/>
      <c r="R158" s="191"/>
      <c r="S158" s="191"/>
      <c r="T158" s="191"/>
      <c r="U158" s="191"/>
    </row>
    <row r="159" spans="1:21" ht="13.9">
      <c r="A159" s="492"/>
      <c r="B159" s="488"/>
      <c r="C159" s="495" t="s">
        <v>192</v>
      </c>
      <c r="D159" s="481"/>
      <c r="E159" s="482"/>
      <c r="F159" s="507">
        <v>3</v>
      </c>
      <c r="G159" s="476" t="s">
        <v>131</v>
      </c>
      <c r="H159" s="480"/>
      <c r="I159" s="594">
        <f>(440)</f>
        <v>440</v>
      </c>
      <c r="J159" s="463">
        <f>F159*I159</f>
        <v>1320</v>
      </c>
      <c r="K159" s="456"/>
      <c r="L159" s="103"/>
      <c r="M159" s="190"/>
      <c r="N159" s="190"/>
      <c r="O159" s="190"/>
      <c r="P159" s="191"/>
      <c r="Q159" s="191"/>
      <c r="R159" s="191"/>
      <c r="S159" s="191"/>
      <c r="T159" s="191"/>
      <c r="U159" s="191"/>
    </row>
    <row r="160" spans="1:21">
      <c r="A160" s="492"/>
      <c r="B160" s="488"/>
      <c r="C160" s="469"/>
      <c r="D160" s="481"/>
      <c r="E160" s="482"/>
      <c r="F160" s="507"/>
      <c r="G160" s="476"/>
      <c r="H160" s="480"/>
      <c r="I160" s="594"/>
      <c r="J160" s="463"/>
      <c r="K160" s="456"/>
      <c r="L160" s="103"/>
      <c r="M160" s="190"/>
      <c r="N160" s="190"/>
      <c r="O160" s="190"/>
      <c r="P160" s="191"/>
      <c r="Q160" s="191"/>
      <c r="R160" s="191"/>
      <c r="S160" s="191"/>
      <c r="T160" s="191"/>
      <c r="U160" s="191"/>
    </row>
    <row r="161" spans="1:21">
      <c r="A161" s="492"/>
      <c r="B161" s="488"/>
      <c r="C161" s="471"/>
      <c r="D161" s="481"/>
      <c r="E161" s="482"/>
      <c r="F161" s="507"/>
      <c r="G161" s="476"/>
      <c r="H161" s="480"/>
      <c r="I161" s="594"/>
      <c r="J161" s="463"/>
      <c r="K161" s="456"/>
      <c r="L161" s="103"/>
      <c r="M161" s="190"/>
      <c r="N161" s="190"/>
      <c r="O161" s="190"/>
      <c r="P161" s="191"/>
      <c r="Q161" s="191"/>
      <c r="R161" s="191"/>
      <c r="S161" s="191"/>
      <c r="T161" s="191"/>
      <c r="U161" s="191"/>
    </row>
    <row r="162" spans="1:21" ht="26.45">
      <c r="A162" s="492"/>
      <c r="B162" s="488"/>
      <c r="C162" s="471" t="s">
        <v>193</v>
      </c>
      <c r="D162" s="481"/>
      <c r="E162" s="482"/>
      <c r="F162" s="507">
        <v>3</v>
      </c>
      <c r="G162" s="476" t="s">
        <v>131</v>
      </c>
      <c r="H162" s="480"/>
      <c r="I162" s="594">
        <f>2500</f>
        <v>2500</v>
      </c>
      <c r="J162" s="463">
        <f>F162*I162</f>
        <v>7500</v>
      </c>
      <c r="K162" s="456"/>
      <c r="L162" s="103"/>
      <c r="M162" s="190"/>
      <c r="N162" s="190"/>
      <c r="O162" s="190"/>
      <c r="P162" s="191"/>
      <c r="Q162" s="191"/>
      <c r="R162" s="191"/>
      <c r="S162" s="191"/>
      <c r="T162" s="191"/>
      <c r="U162" s="191"/>
    </row>
    <row r="163" spans="1:21">
      <c r="A163" s="492"/>
      <c r="B163" s="488"/>
      <c r="C163" s="469"/>
      <c r="D163" s="481"/>
      <c r="E163" s="482"/>
      <c r="F163" s="507"/>
      <c r="G163" s="476"/>
      <c r="H163" s="480"/>
      <c r="I163" s="594"/>
      <c r="J163" s="463"/>
      <c r="K163" s="456"/>
      <c r="L163" s="103"/>
      <c r="M163" s="190"/>
      <c r="N163" s="190"/>
      <c r="O163" s="190"/>
      <c r="P163" s="191"/>
      <c r="Q163" s="191"/>
      <c r="R163" s="191"/>
      <c r="S163" s="191"/>
      <c r="T163" s="191"/>
      <c r="U163" s="191"/>
    </row>
    <row r="164" spans="1:21">
      <c r="A164" s="492"/>
      <c r="B164" s="488"/>
      <c r="C164" s="484"/>
      <c r="D164" s="449"/>
      <c r="E164" s="450"/>
      <c r="F164" s="451"/>
      <c r="G164" s="452"/>
      <c r="H164" s="453"/>
      <c r="I164" s="454"/>
      <c r="J164" s="455"/>
      <c r="K164" s="456"/>
      <c r="L164" s="103"/>
      <c r="M164" s="190"/>
      <c r="N164" s="190"/>
      <c r="O164" s="190"/>
      <c r="P164" s="191"/>
      <c r="Q164" s="191"/>
      <c r="R164" s="191"/>
      <c r="S164" s="191"/>
      <c r="T164" s="191"/>
      <c r="U164" s="191"/>
    </row>
    <row r="165" spans="1:21" ht="13.9">
      <c r="A165" s="492"/>
      <c r="B165" s="488"/>
      <c r="C165" s="483" t="s">
        <v>194</v>
      </c>
      <c r="D165" s="449"/>
      <c r="E165" s="450"/>
      <c r="F165" s="451">
        <v>3041</v>
      </c>
      <c r="G165" s="452" t="s">
        <v>92</v>
      </c>
      <c r="H165" s="453"/>
      <c r="I165" s="454">
        <v>43</v>
      </c>
      <c r="J165" s="455">
        <f>I165*F165</f>
        <v>130763</v>
      </c>
      <c r="K165" s="456"/>
      <c r="L165" s="103"/>
      <c r="M165" s="190"/>
      <c r="N165" s="190"/>
      <c r="O165" s="190"/>
      <c r="P165" s="191"/>
      <c r="Q165" s="191"/>
      <c r="R165" s="191"/>
      <c r="S165" s="191"/>
      <c r="T165" s="191"/>
      <c r="U165" s="191"/>
    </row>
    <row r="166" spans="1:21" ht="13.9">
      <c r="A166" s="492"/>
      <c r="B166" s="488"/>
      <c r="C166" s="483"/>
      <c r="D166" s="449"/>
      <c r="E166" s="450"/>
      <c r="F166" s="451"/>
      <c r="G166" s="452"/>
      <c r="H166" s="453"/>
      <c r="I166" s="454"/>
      <c r="J166" s="455"/>
      <c r="K166" s="456"/>
      <c r="L166" s="103"/>
      <c r="M166" s="190"/>
      <c r="N166" s="190"/>
      <c r="O166" s="190"/>
      <c r="P166" s="191"/>
      <c r="Q166" s="191"/>
      <c r="R166" s="191"/>
      <c r="S166" s="191"/>
      <c r="T166" s="191"/>
      <c r="U166" s="191"/>
    </row>
    <row r="167" spans="1:21" ht="13.9">
      <c r="A167" s="492"/>
      <c r="B167" s="490"/>
      <c r="C167" s="483"/>
      <c r="D167" s="449"/>
      <c r="E167" s="450"/>
      <c r="F167" s="451"/>
      <c r="G167" s="452"/>
      <c r="H167" s="453"/>
      <c r="I167" s="454"/>
      <c r="J167" s="455"/>
      <c r="K167" s="456"/>
      <c r="L167" s="103"/>
      <c r="M167" s="190"/>
      <c r="N167" s="190"/>
      <c r="O167" s="190"/>
      <c r="P167" s="191"/>
      <c r="Q167" s="191"/>
      <c r="R167" s="191"/>
      <c r="S167" s="191"/>
      <c r="T167" s="191"/>
      <c r="U167" s="191"/>
    </row>
    <row r="168" spans="1:21" s="446" customFormat="1">
      <c r="A168" s="486">
        <v>5.2</v>
      </c>
      <c r="B168" s="490"/>
      <c r="C168" s="464" t="s">
        <v>195</v>
      </c>
      <c r="D168" s="458"/>
      <c r="E168" s="459"/>
      <c r="F168" s="503"/>
      <c r="G168" s="460"/>
      <c r="H168" s="461"/>
      <c r="I168" s="462"/>
      <c r="J168" s="463"/>
      <c r="K168" s="456"/>
      <c r="L168" s="103"/>
      <c r="M168" s="445"/>
      <c r="N168" s="445"/>
      <c r="O168" s="445"/>
      <c r="P168" s="191"/>
      <c r="Q168" s="191"/>
      <c r="R168" s="191"/>
      <c r="S168" s="191"/>
      <c r="T168" s="191"/>
      <c r="U168" s="191"/>
    </row>
    <row r="169" spans="1:21" s="446" customFormat="1">
      <c r="A169" s="486"/>
      <c r="B169" s="490"/>
      <c r="C169" s="457"/>
      <c r="D169" s="458"/>
      <c r="E169" s="459"/>
      <c r="F169" s="503"/>
      <c r="G169" s="460"/>
      <c r="H169" s="461"/>
      <c r="I169" s="462"/>
      <c r="J169" s="463"/>
      <c r="K169" s="456"/>
      <c r="L169" s="103"/>
      <c r="M169" s="445"/>
      <c r="N169" s="445"/>
      <c r="O169" s="445"/>
      <c r="P169" s="191"/>
      <c r="Q169" s="191"/>
      <c r="R169" s="191"/>
      <c r="S169" s="191"/>
      <c r="T169" s="191"/>
      <c r="U169" s="191"/>
    </row>
    <row r="170" spans="1:21" s="446" customFormat="1" ht="26.45">
      <c r="A170" s="486" t="s">
        <v>196</v>
      </c>
      <c r="B170" s="490"/>
      <c r="C170" s="457" t="s">
        <v>197</v>
      </c>
      <c r="D170" s="481"/>
      <c r="E170" s="467"/>
      <c r="F170" s="503">
        <v>3041</v>
      </c>
      <c r="G170" s="460" t="s">
        <v>92</v>
      </c>
      <c r="H170" s="461"/>
      <c r="I170" s="462">
        <f>25</f>
        <v>25</v>
      </c>
      <c r="J170" s="463">
        <f>F170*I170</f>
        <v>76025</v>
      </c>
      <c r="K170" s="456"/>
      <c r="L170" s="103"/>
      <c r="M170" s="445"/>
      <c r="N170" s="445"/>
      <c r="O170" s="445"/>
      <c r="P170" s="191"/>
      <c r="Q170" s="191"/>
      <c r="R170" s="191"/>
      <c r="S170" s="191"/>
      <c r="T170" s="191"/>
      <c r="U170" s="191"/>
    </row>
    <row r="171" spans="1:21" s="446" customFormat="1">
      <c r="A171" s="486"/>
      <c r="B171" s="490"/>
      <c r="C171" s="457"/>
      <c r="D171" s="481"/>
      <c r="E171" s="482"/>
      <c r="F171" s="503"/>
      <c r="G171" s="460"/>
      <c r="H171" s="461"/>
      <c r="I171" s="462"/>
      <c r="J171" s="463"/>
      <c r="K171" s="456"/>
      <c r="L171" s="103"/>
      <c r="M171" s="445"/>
      <c r="N171" s="445"/>
      <c r="O171" s="445"/>
      <c r="P171" s="191"/>
      <c r="Q171" s="191"/>
      <c r="R171" s="191"/>
      <c r="S171" s="191"/>
      <c r="T171" s="191"/>
      <c r="U171" s="191"/>
    </row>
    <row r="172" spans="1:21" s="446" customFormat="1">
      <c r="A172" s="486"/>
      <c r="B172" s="490"/>
      <c r="C172" s="457" t="s">
        <v>198</v>
      </c>
      <c r="D172" s="481"/>
      <c r="E172" s="482"/>
      <c r="F172" s="503">
        <v>9</v>
      </c>
      <c r="G172" s="460" t="s">
        <v>131</v>
      </c>
      <c r="H172" s="461"/>
      <c r="I172" s="462">
        <f>825</f>
        <v>825</v>
      </c>
      <c r="J172" s="463">
        <f>F172*I172</f>
        <v>7425</v>
      </c>
      <c r="K172" s="456"/>
      <c r="L172" s="103"/>
      <c r="M172" s="445"/>
      <c r="N172" s="445"/>
      <c r="O172" s="445"/>
      <c r="P172" s="191"/>
      <c r="Q172" s="191"/>
      <c r="R172" s="191"/>
      <c r="S172" s="191"/>
      <c r="T172" s="191"/>
      <c r="U172" s="191"/>
    </row>
    <row r="173" spans="1:21" ht="13.9">
      <c r="A173" s="492"/>
      <c r="B173" s="490"/>
      <c r="C173" s="483"/>
      <c r="D173" s="449"/>
      <c r="E173" s="450"/>
      <c r="F173" s="451"/>
      <c r="G173" s="452"/>
      <c r="H173" s="453"/>
      <c r="I173" s="454"/>
      <c r="J173" s="455"/>
      <c r="K173" s="456"/>
      <c r="L173" s="103"/>
      <c r="M173" s="190"/>
      <c r="N173" s="190"/>
      <c r="O173" s="190"/>
      <c r="P173" s="191"/>
      <c r="Q173" s="191"/>
      <c r="R173" s="191"/>
      <c r="S173" s="191"/>
      <c r="T173" s="191"/>
      <c r="U173" s="191"/>
    </row>
    <row r="174" spans="1:21" s="446" customFormat="1">
      <c r="A174" s="486">
        <v>5.3</v>
      </c>
      <c r="B174" s="490"/>
      <c r="C174" s="464" t="s">
        <v>199</v>
      </c>
      <c r="D174" s="465"/>
      <c r="E174" s="494"/>
      <c r="F174" s="503"/>
      <c r="G174" s="460"/>
      <c r="H174" s="461"/>
      <c r="I174" s="462"/>
      <c r="J174" s="463"/>
      <c r="K174" s="456"/>
      <c r="L174" s="103"/>
      <c r="M174" s="445"/>
      <c r="N174" s="445"/>
      <c r="O174" s="445"/>
      <c r="P174" s="191"/>
      <c r="Q174" s="191"/>
      <c r="R174" s="191"/>
      <c r="S174" s="191"/>
      <c r="T174" s="191"/>
      <c r="U174" s="191"/>
    </row>
    <row r="175" spans="1:21" s="446" customFormat="1">
      <c r="A175" s="486"/>
      <c r="B175" s="490"/>
      <c r="C175" s="470"/>
      <c r="D175" s="449"/>
      <c r="E175" s="466"/>
      <c r="F175" s="505"/>
      <c r="G175" s="466"/>
      <c r="H175" s="470"/>
      <c r="I175" s="462"/>
      <c r="J175" s="463"/>
      <c r="K175" s="456"/>
      <c r="L175" s="103"/>
      <c r="M175" s="445"/>
      <c r="N175" s="445"/>
      <c r="O175" s="445"/>
      <c r="P175" s="191"/>
      <c r="Q175" s="191"/>
      <c r="R175" s="191"/>
      <c r="S175" s="191"/>
      <c r="T175" s="191"/>
      <c r="U175" s="191"/>
    </row>
    <row r="176" spans="1:21" s="446" customFormat="1" ht="26.45">
      <c r="A176" s="486"/>
      <c r="B176" s="490"/>
      <c r="C176" s="457" t="s">
        <v>200</v>
      </c>
      <c r="D176" s="458"/>
      <c r="E176" s="459"/>
      <c r="F176" s="503">
        <v>3041</v>
      </c>
      <c r="G176" s="498" t="s">
        <v>92</v>
      </c>
      <c r="H176" s="461"/>
      <c r="I176" s="462">
        <f>(3)</f>
        <v>3</v>
      </c>
      <c r="J176" s="463">
        <f>I176*F176</f>
        <v>9123</v>
      </c>
      <c r="K176" s="455"/>
      <c r="L176" s="103"/>
      <c r="M176" s="445"/>
      <c r="N176" s="445"/>
      <c r="O176" s="445"/>
      <c r="P176" s="191"/>
      <c r="Q176" s="191"/>
      <c r="R176" s="191"/>
      <c r="S176" s="191"/>
      <c r="T176" s="191"/>
      <c r="U176" s="191"/>
    </row>
    <row r="177" spans="1:21" s="446" customFormat="1">
      <c r="A177" s="486"/>
      <c r="B177" s="490"/>
      <c r="C177" s="457"/>
      <c r="D177" s="458"/>
      <c r="E177" s="459"/>
      <c r="F177" s="503"/>
      <c r="G177" s="460"/>
      <c r="H177" s="461"/>
      <c r="I177" s="462"/>
      <c r="J177" s="463"/>
      <c r="K177" s="455"/>
      <c r="L177" s="103"/>
      <c r="M177" s="445"/>
      <c r="N177" s="445"/>
      <c r="O177" s="445"/>
      <c r="P177" s="191"/>
      <c r="Q177" s="191"/>
      <c r="R177" s="191"/>
      <c r="S177" s="191"/>
      <c r="T177" s="191"/>
      <c r="U177" s="191"/>
    </row>
    <row r="178" spans="1:21" s="446" customFormat="1">
      <c r="A178" s="486"/>
      <c r="B178" s="490"/>
      <c r="C178" s="457" t="s">
        <v>201</v>
      </c>
      <c r="D178" s="458"/>
      <c r="E178" s="459"/>
      <c r="F178" s="503">
        <v>3041</v>
      </c>
      <c r="G178" s="460" t="s">
        <v>92</v>
      </c>
      <c r="H178" s="461"/>
      <c r="I178" s="462">
        <f>(4)</f>
        <v>4</v>
      </c>
      <c r="J178" s="463">
        <f>F178*I178</f>
        <v>12164</v>
      </c>
      <c r="K178" s="455"/>
      <c r="L178" s="103"/>
      <c r="M178" s="445"/>
      <c r="N178" s="445"/>
      <c r="O178" s="445"/>
      <c r="P178" s="191"/>
      <c r="Q178" s="191"/>
      <c r="R178" s="191"/>
      <c r="S178" s="191"/>
      <c r="T178" s="191"/>
      <c r="U178" s="191"/>
    </row>
    <row r="179" spans="1:21" s="446" customFormat="1" ht="13.9">
      <c r="A179" s="486"/>
      <c r="B179" s="490"/>
      <c r="C179" s="495"/>
      <c r="D179" s="496"/>
      <c r="E179" s="497"/>
      <c r="F179" s="503"/>
      <c r="G179" s="460"/>
      <c r="H179" s="461"/>
      <c r="I179" s="462"/>
      <c r="J179" s="463"/>
      <c r="K179" s="455"/>
      <c r="L179" s="103"/>
      <c r="M179" s="445"/>
      <c r="N179" s="445"/>
      <c r="O179" s="445"/>
      <c r="P179" s="191"/>
      <c r="Q179" s="191"/>
      <c r="R179" s="191"/>
      <c r="S179" s="191"/>
      <c r="T179" s="191"/>
      <c r="U179" s="191"/>
    </row>
    <row r="180" spans="1:21" s="446" customFormat="1">
      <c r="A180" s="486">
        <v>5.4</v>
      </c>
      <c r="B180" s="490"/>
      <c r="C180" s="464" t="s">
        <v>202</v>
      </c>
      <c r="D180" s="465"/>
      <c r="E180" s="494"/>
      <c r="F180" s="503"/>
      <c r="G180" s="460"/>
      <c r="H180" s="461"/>
      <c r="I180" s="462"/>
      <c r="J180" s="463"/>
      <c r="K180" s="455"/>
      <c r="L180" s="103"/>
      <c r="M180" s="445"/>
      <c r="N180" s="445"/>
      <c r="O180" s="445"/>
      <c r="P180" s="191"/>
      <c r="Q180" s="191"/>
      <c r="R180" s="191"/>
      <c r="S180" s="191"/>
      <c r="T180" s="191"/>
      <c r="U180" s="191"/>
    </row>
    <row r="181" spans="1:21" s="446" customFormat="1">
      <c r="A181" s="486"/>
      <c r="B181" s="490"/>
      <c r="C181" s="464"/>
      <c r="D181" s="465"/>
      <c r="E181" s="494"/>
      <c r="F181" s="503"/>
      <c r="G181" s="460"/>
      <c r="H181" s="461"/>
      <c r="I181" s="462"/>
      <c r="J181" s="463"/>
      <c r="K181" s="455"/>
      <c r="L181" s="103"/>
      <c r="M181" s="445"/>
      <c r="N181" s="445"/>
      <c r="O181" s="445"/>
      <c r="P181" s="191"/>
      <c r="Q181" s="191"/>
      <c r="R181" s="191"/>
      <c r="S181" s="191"/>
      <c r="T181" s="191"/>
      <c r="U181" s="191"/>
    </row>
    <row r="182" spans="1:21" ht="26.45">
      <c r="A182" s="492" t="s">
        <v>203</v>
      </c>
      <c r="B182" s="490"/>
      <c r="C182" s="551" t="s">
        <v>204</v>
      </c>
      <c r="D182" s="449"/>
      <c r="E182" s="466"/>
      <c r="F182" s="503"/>
      <c r="G182" s="460"/>
      <c r="H182" s="461"/>
      <c r="I182" s="462"/>
      <c r="J182" s="463"/>
      <c r="K182" s="455"/>
      <c r="L182" s="103"/>
      <c r="M182" s="190"/>
      <c r="N182" s="190"/>
      <c r="O182" s="190"/>
      <c r="P182" s="191"/>
      <c r="Q182" s="191"/>
      <c r="R182" s="191"/>
      <c r="S182" s="191"/>
      <c r="T182" s="191"/>
      <c r="U182" s="191"/>
    </row>
    <row r="183" spans="1:21">
      <c r="A183" s="492"/>
      <c r="B183" s="490"/>
      <c r="C183" s="499"/>
      <c r="D183" s="449"/>
      <c r="E183" s="466"/>
      <c r="F183" s="503"/>
      <c r="G183" s="460"/>
      <c r="H183" s="461"/>
      <c r="I183" s="462"/>
      <c r="J183" s="463"/>
      <c r="K183" s="455"/>
      <c r="L183" s="103"/>
      <c r="M183" s="190"/>
      <c r="N183" s="190"/>
      <c r="O183" s="190"/>
      <c r="P183" s="191"/>
      <c r="Q183" s="191"/>
      <c r="R183" s="191"/>
      <c r="S183" s="191"/>
      <c r="T183" s="191"/>
      <c r="U183" s="191"/>
    </row>
    <row r="184" spans="1:21" ht="13.9">
      <c r="A184" s="492"/>
      <c r="B184" s="490"/>
      <c r="C184" s="483"/>
      <c r="D184" s="449"/>
      <c r="E184" s="450"/>
      <c r="F184" s="451"/>
      <c r="G184" s="452"/>
      <c r="H184" s="453"/>
      <c r="I184" s="454"/>
      <c r="J184" s="455"/>
      <c r="K184" s="456"/>
      <c r="L184" s="103"/>
      <c r="M184" s="190"/>
      <c r="N184" s="190"/>
      <c r="O184" s="190"/>
      <c r="P184" s="191"/>
      <c r="Q184" s="191"/>
      <c r="R184" s="191"/>
      <c r="S184" s="191"/>
      <c r="T184" s="191"/>
      <c r="U184" s="191"/>
    </row>
    <row r="185" spans="1:21" s="446" customFormat="1">
      <c r="A185" s="486">
        <v>5.5</v>
      </c>
      <c r="B185" s="485"/>
      <c r="C185" s="464" t="s">
        <v>205</v>
      </c>
      <c r="D185" s="465"/>
      <c r="E185" s="494"/>
      <c r="F185" s="503"/>
      <c r="G185" s="460"/>
      <c r="H185" s="461"/>
      <c r="I185" s="462"/>
      <c r="J185" s="463"/>
      <c r="K185" s="455"/>
      <c r="L185" s="103"/>
      <c r="M185" s="445"/>
      <c r="N185" s="445"/>
      <c r="O185" s="445"/>
      <c r="P185" s="191"/>
      <c r="Q185" s="191"/>
      <c r="R185" s="191"/>
      <c r="S185" s="191"/>
      <c r="T185" s="191"/>
      <c r="U185" s="191"/>
    </row>
    <row r="186" spans="1:21" s="446" customFormat="1">
      <c r="A186" s="486"/>
      <c r="B186" s="485"/>
      <c r="C186" s="464"/>
      <c r="D186" s="536"/>
      <c r="E186" s="537"/>
      <c r="F186" s="503"/>
      <c r="G186" s="460"/>
      <c r="H186" s="461"/>
      <c r="I186" s="462"/>
      <c r="J186" s="463"/>
      <c r="K186" s="455"/>
      <c r="L186" s="103"/>
      <c r="M186" s="445"/>
      <c r="N186" s="445"/>
      <c r="O186" s="445"/>
      <c r="P186" s="191"/>
      <c r="Q186" s="191"/>
      <c r="R186" s="191"/>
      <c r="S186" s="191"/>
      <c r="T186" s="191"/>
      <c r="U186" s="191"/>
    </row>
    <row r="187" spans="1:21" s="502" customFormat="1" ht="26.45">
      <c r="A187" s="538" t="s">
        <v>206</v>
      </c>
      <c r="B187" s="500"/>
      <c r="C187" s="471" t="s">
        <v>207</v>
      </c>
      <c r="D187" s="466"/>
      <c r="E187" s="466"/>
      <c r="F187" s="451">
        <v>3041</v>
      </c>
      <c r="G187" s="460" t="s">
        <v>92</v>
      </c>
      <c r="H187" s="460"/>
      <c r="I187" s="539">
        <f>(75)</f>
        <v>75</v>
      </c>
      <c r="J187" s="463">
        <f>F187*I187</f>
        <v>228075</v>
      </c>
      <c r="K187" s="540"/>
      <c r="L187" s="411"/>
      <c r="M187" s="168"/>
      <c r="N187" s="168"/>
      <c r="O187" s="168"/>
      <c r="P187" s="501"/>
      <c r="Q187" s="501"/>
      <c r="R187" s="501"/>
      <c r="S187" s="501"/>
      <c r="T187" s="501"/>
      <c r="U187" s="501"/>
    </row>
    <row r="188" spans="1:21">
      <c r="A188" s="491"/>
      <c r="B188" s="447"/>
      <c r="C188" s="457"/>
      <c r="D188" s="458"/>
      <c r="E188" s="459"/>
      <c r="F188" s="503"/>
      <c r="G188" s="460"/>
      <c r="H188" s="461"/>
      <c r="I188" s="462"/>
      <c r="J188" s="463"/>
      <c r="K188" s="455"/>
      <c r="L188" s="103"/>
      <c r="M188" s="190"/>
      <c r="N188" s="190"/>
      <c r="O188" s="190"/>
      <c r="P188" s="191"/>
      <c r="Q188" s="191"/>
      <c r="R188" s="191"/>
      <c r="S188" s="191"/>
      <c r="T188" s="191"/>
      <c r="U188" s="191"/>
    </row>
    <row r="189" spans="1:21">
      <c r="A189" s="486"/>
      <c r="B189" s="447"/>
      <c r="C189" s="457" t="s">
        <v>208</v>
      </c>
      <c r="D189" s="458"/>
      <c r="E189" s="459"/>
      <c r="F189" s="503"/>
      <c r="G189" s="460" t="s">
        <v>129</v>
      </c>
      <c r="H189" s="461"/>
      <c r="I189" s="463">
        <f>(15000/6000)*(3041)</f>
        <v>7602.5</v>
      </c>
      <c r="J189" s="463">
        <f>I189</f>
        <v>7602.5</v>
      </c>
      <c r="K189" s="455"/>
      <c r="L189" s="103"/>
      <c r="M189" s="190"/>
      <c r="N189" s="190"/>
      <c r="O189" s="190"/>
      <c r="P189" s="191"/>
      <c r="Q189" s="191"/>
      <c r="R189" s="191"/>
      <c r="S189" s="191"/>
      <c r="T189" s="191"/>
      <c r="U189" s="191"/>
    </row>
    <row r="190" spans="1:21">
      <c r="A190" s="486"/>
      <c r="B190" s="447"/>
      <c r="C190" s="457"/>
      <c r="D190" s="458"/>
      <c r="E190" s="459"/>
      <c r="F190" s="503"/>
      <c r="G190" s="460"/>
      <c r="H190" s="461"/>
      <c r="I190" s="462"/>
      <c r="J190" s="463"/>
      <c r="K190" s="455"/>
      <c r="L190" s="103"/>
      <c r="M190" s="190"/>
      <c r="N190" s="190"/>
      <c r="O190" s="190"/>
      <c r="P190" s="191"/>
      <c r="Q190" s="191"/>
      <c r="R190" s="191"/>
      <c r="S190" s="191"/>
      <c r="T190" s="191"/>
      <c r="U190" s="191"/>
    </row>
    <row r="191" spans="1:21">
      <c r="A191" s="486"/>
      <c r="B191" s="447"/>
      <c r="C191" s="457" t="s">
        <v>209</v>
      </c>
      <c r="D191" s="458"/>
      <c r="E191" s="459"/>
      <c r="F191" s="503"/>
      <c r="G191" s="460" t="s">
        <v>108</v>
      </c>
      <c r="H191" s="461"/>
      <c r="I191" s="463">
        <f>(20000/6000)*(3041)</f>
        <v>10136.666666666668</v>
      </c>
      <c r="J191" s="541">
        <f>I191</f>
        <v>10136.666666666668</v>
      </c>
      <c r="K191" s="455" t="s">
        <v>210</v>
      </c>
      <c r="L191" s="103"/>
      <c r="M191" s="190"/>
      <c r="N191" s="190"/>
      <c r="O191" s="190"/>
      <c r="P191" s="191"/>
      <c r="Q191" s="191"/>
      <c r="R191" s="191"/>
      <c r="S191" s="191"/>
      <c r="T191" s="191"/>
      <c r="U191" s="191"/>
    </row>
    <row r="192" spans="1:21">
      <c r="A192" s="486"/>
      <c r="B192" s="447"/>
      <c r="C192" s="457"/>
      <c r="D192" s="458"/>
      <c r="E192" s="459"/>
      <c r="F192" s="503"/>
      <c r="G192" s="460"/>
      <c r="H192" s="461"/>
      <c r="I192" s="462"/>
      <c r="J192" s="463"/>
      <c r="K192" s="455"/>
      <c r="L192" s="103"/>
      <c r="M192" s="190"/>
      <c r="N192" s="190"/>
      <c r="O192" s="190"/>
      <c r="P192" s="191"/>
      <c r="Q192" s="191"/>
      <c r="R192" s="191"/>
      <c r="S192" s="191"/>
      <c r="T192" s="191"/>
      <c r="U192" s="191"/>
    </row>
    <row r="193" spans="1:21" ht="26.45">
      <c r="A193" s="486"/>
      <c r="B193" s="447"/>
      <c r="C193" s="457" t="s">
        <v>211</v>
      </c>
      <c r="D193" s="458"/>
      <c r="E193" s="459"/>
      <c r="F193" s="503"/>
      <c r="G193" s="460" t="s">
        <v>129</v>
      </c>
      <c r="H193" s="461"/>
      <c r="I193" s="463">
        <f>(740000/11000)*(3041)</f>
        <v>204576.36363636362</v>
      </c>
      <c r="J193" s="542">
        <f>I193</f>
        <v>204576.36363636362</v>
      </c>
      <c r="K193" s="455" t="s">
        <v>212</v>
      </c>
      <c r="L193" s="103"/>
      <c r="M193" s="190"/>
      <c r="N193" s="190"/>
      <c r="O193" s="190"/>
      <c r="P193" s="191"/>
      <c r="Q193" s="191"/>
      <c r="R193" s="191"/>
      <c r="S193" s="191"/>
      <c r="T193" s="191"/>
      <c r="U193" s="191"/>
    </row>
    <row r="194" spans="1:21">
      <c r="A194" s="486"/>
      <c r="B194" s="447"/>
      <c r="C194" s="457"/>
      <c r="D194" s="458"/>
      <c r="E194" s="459"/>
      <c r="F194" s="503"/>
      <c r="G194" s="460"/>
      <c r="H194" s="461"/>
      <c r="I194" s="462"/>
      <c r="J194" s="463"/>
      <c r="K194" s="455"/>
      <c r="L194" s="103"/>
      <c r="M194" s="190"/>
      <c r="N194" s="190"/>
      <c r="O194" s="190"/>
      <c r="P194" s="191"/>
      <c r="Q194" s="191"/>
      <c r="R194" s="191"/>
      <c r="S194" s="191"/>
      <c r="T194" s="191"/>
      <c r="U194" s="191"/>
    </row>
    <row r="195" spans="1:21">
      <c r="A195" s="486">
        <v>5.6</v>
      </c>
      <c r="B195" s="447"/>
      <c r="C195" s="464" t="s">
        <v>213</v>
      </c>
      <c r="D195" s="458"/>
      <c r="E195" s="459"/>
      <c r="F195" s="503"/>
      <c r="G195" s="460"/>
      <c r="H195" s="461"/>
      <c r="I195" s="462"/>
      <c r="J195" s="463"/>
      <c r="K195" s="455"/>
      <c r="L195" s="103"/>
      <c r="M195" s="190"/>
      <c r="N195" s="190"/>
      <c r="O195" s="190"/>
      <c r="P195" s="191"/>
      <c r="Q195" s="191"/>
      <c r="R195" s="191"/>
      <c r="S195" s="191"/>
      <c r="T195" s="191"/>
      <c r="U195" s="191"/>
    </row>
    <row r="196" spans="1:21">
      <c r="A196" s="486"/>
      <c r="B196" s="447"/>
      <c r="C196" s="464"/>
      <c r="D196" s="458"/>
      <c r="E196" s="459"/>
      <c r="F196" s="503"/>
      <c r="G196" s="460"/>
      <c r="H196" s="461"/>
      <c r="I196" s="462"/>
      <c r="J196" s="463"/>
      <c r="K196" s="455"/>
      <c r="L196" s="103"/>
      <c r="M196" s="190"/>
      <c r="N196" s="190"/>
      <c r="O196" s="190"/>
      <c r="P196" s="191"/>
      <c r="Q196" s="191"/>
      <c r="R196" s="191"/>
      <c r="S196" s="191"/>
      <c r="T196" s="191"/>
      <c r="U196" s="191"/>
    </row>
    <row r="197" spans="1:21" ht="39.6">
      <c r="A197" s="491" t="s">
        <v>214</v>
      </c>
      <c r="B197" s="447"/>
      <c r="C197" s="457" t="s">
        <v>215</v>
      </c>
      <c r="D197" s="458"/>
      <c r="E197" s="459"/>
      <c r="F197" s="503">
        <v>3041</v>
      </c>
      <c r="G197" s="498" t="s">
        <v>92</v>
      </c>
      <c r="H197" s="461"/>
      <c r="I197" s="462">
        <f>(120)</f>
        <v>120</v>
      </c>
      <c r="J197" s="463">
        <f>F197*I197</f>
        <v>364920</v>
      </c>
      <c r="K197" s="455"/>
      <c r="L197" s="508"/>
      <c r="M197" s="190"/>
      <c r="N197" s="190"/>
      <c r="O197" s="190"/>
      <c r="P197" s="191"/>
      <c r="Q197" s="191"/>
      <c r="R197" s="191"/>
      <c r="S197" s="191"/>
      <c r="T197" s="191"/>
      <c r="U197" s="191"/>
    </row>
    <row r="198" spans="1:21">
      <c r="A198" s="486"/>
      <c r="B198" s="447"/>
      <c r="C198" s="464"/>
      <c r="D198" s="458"/>
      <c r="E198" s="459"/>
      <c r="F198" s="503"/>
      <c r="G198" s="460"/>
      <c r="H198" s="461"/>
      <c r="I198" s="462"/>
      <c r="J198" s="463"/>
      <c r="K198" s="455"/>
      <c r="L198" s="103"/>
      <c r="M198" s="190"/>
      <c r="N198" s="190"/>
      <c r="O198" s="190"/>
      <c r="P198" s="191"/>
      <c r="Q198" s="191"/>
      <c r="R198" s="191"/>
      <c r="S198" s="191"/>
      <c r="T198" s="191"/>
      <c r="U198" s="191"/>
    </row>
    <row r="199" spans="1:21">
      <c r="A199" s="486"/>
      <c r="B199" s="447"/>
      <c r="C199" s="457" t="s">
        <v>216</v>
      </c>
      <c r="D199" s="458"/>
      <c r="E199" s="459"/>
      <c r="F199" s="503"/>
      <c r="G199" s="460" t="s">
        <v>108</v>
      </c>
      <c r="H199" s="461"/>
      <c r="I199" s="462">
        <f>(57500/6000)*(3041)</f>
        <v>29142.916666666668</v>
      </c>
      <c r="J199" s="463">
        <f>I199</f>
        <v>29142.916666666668</v>
      </c>
      <c r="K199" s="455" t="s">
        <v>158</v>
      </c>
      <c r="L199" s="103"/>
      <c r="M199" s="190"/>
      <c r="N199" s="190"/>
      <c r="O199" s="190"/>
      <c r="P199" s="191"/>
      <c r="Q199" s="191"/>
      <c r="R199" s="191"/>
      <c r="S199" s="191"/>
      <c r="T199" s="191"/>
      <c r="U199" s="191"/>
    </row>
    <row r="200" spans="1:21">
      <c r="A200" s="486"/>
      <c r="B200" s="447"/>
      <c r="C200" s="457"/>
      <c r="D200" s="458"/>
      <c r="E200" s="459"/>
      <c r="F200" s="503"/>
      <c r="G200" s="460"/>
      <c r="H200" s="461"/>
      <c r="I200" s="462"/>
      <c r="J200" s="463"/>
      <c r="K200" s="455"/>
      <c r="L200" s="103"/>
      <c r="M200" s="190"/>
      <c r="N200" s="190"/>
      <c r="O200" s="190"/>
      <c r="P200" s="191"/>
      <c r="Q200" s="191"/>
      <c r="R200" s="191"/>
      <c r="S200" s="191"/>
      <c r="T200" s="191"/>
      <c r="U200" s="191"/>
    </row>
    <row r="201" spans="1:21">
      <c r="A201" s="486">
        <v>5.7</v>
      </c>
      <c r="B201" s="447"/>
      <c r="C201" s="464" t="s">
        <v>217</v>
      </c>
      <c r="D201" s="458"/>
      <c r="E201" s="459"/>
      <c r="F201" s="503"/>
      <c r="G201" s="460"/>
      <c r="H201" s="461"/>
      <c r="I201" s="462"/>
      <c r="J201" s="463"/>
      <c r="K201" s="455"/>
      <c r="L201" s="103"/>
      <c r="M201" s="190"/>
      <c r="N201" s="190"/>
      <c r="O201" s="190"/>
      <c r="P201" s="191"/>
      <c r="Q201" s="191"/>
      <c r="R201" s="191"/>
      <c r="S201" s="191"/>
      <c r="T201" s="191"/>
      <c r="U201" s="191"/>
    </row>
    <row r="202" spans="1:21">
      <c r="A202" s="486"/>
      <c r="B202" s="447"/>
      <c r="C202" s="457"/>
      <c r="D202" s="458"/>
      <c r="E202" s="459"/>
      <c r="F202" s="503"/>
      <c r="G202" s="460"/>
      <c r="H202" s="461"/>
      <c r="I202" s="462"/>
      <c r="J202" s="463"/>
      <c r="K202" s="455"/>
      <c r="L202" s="103"/>
      <c r="M202" s="190"/>
      <c r="N202" s="190"/>
      <c r="O202" s="190"/>
      <c r="P202" s="191"/>
      <c r="Q202" s="191"/>
      <c r="R202" s="191"/>
      <c r="S202" s="191"/>
      <c r="T202" s="191"/>
      <c r="U202" s="191"/>
    </row>
    <row r="203" spans="1:21">
      <c r="A203" s="491" t="s">
        <v>218</v>
      </c>
      <c r="B203" s="447"/>
      <c r="C203" s="457" t="s">
        <v>219</v>
      </c>
      <c r="D203" s="458"/>
      <c r="E203" s="459"/>
      <c r="F203" s="503"/>
      <c r="G203" s="460" t="s">
        <v>108</v>
      </c>
      <c r="H203" s="461"/>
      <c r="I203" s="462">
        <f>(29000/11000)*(3041)</f>
        <v>8017.181818181818</v>
      </c>
      <c r="J203" s="463">
        <f>I203</f>
        <v>8017.181818181818</v>
      </c>
      <c r="K203" s="455" t="s">
        <v>210</v>
      </c>
      <c r="L203" s="103"/>
      <c r="M203" s="190"/>
      <c r="N203" s="190"/>
      <c r="O203" s="190"/>
      <c r="P203" s="191"/>
      <c r="Q203" s="191"/>
      <c r="R203" s="191"/>
      <c r="S203" s="191"/>
      <c r="T203" s="191"/>
      <c r="U203" s="191"/>
    </row>
    <row r="204" spans="1:21">
      <c r="A204" s="486"/>
      <c r="B204" s="447"/>
      <c r="C204" s="457"/>
      <c r="D204" s="458"/>
      <c r="E204" s="459"/>
      <c r="F204" s="503"/>
      <c r="G204" s="460"/>
      <c r="H204" s="461"/>
      <c r="I204" s="462"/>
      <c r="J204" s="463"/>
      <c r="K204" s="455"/>
      <c r="L204" s="103"/>
      <c r="M204" s="190"/>
      <c r="N204" s="190"/>
      <c r="O204" s="190"/>
      <c r="P204" s="191"/>
      <c r="Q204" s="191"/>
      <c r="R204" s="191"/>
      <c r="S204" s="191"/>
      <c r="T204" s="191"/>
      <c r="U204" s="191"/>
    </row>
    <row r="205" spans="1:21">
      <c r="A205" s="486"/>
      <c r="B205" s="447"/>
      <c r="C205" s="457"/>
      <c r="D205" s="458"/>
      <c r="E205" s="459"/>
      <c r="F205" s="503"/>
      <c r="G205" s="460"/>
      <c r="H205" s="461"/>
      <c r="I205" s="462"/>
      <c r="J205" s="463"/>
      <c r="K205" s="455"/>
      <c r="L205" s="103"/>
      <c r="M205" s="190"/>
      <c r="N205" s="190"/>
      <c r="O205" s="190"/>
      <c r="P205" s="191"/>
      <c r="Q205" s="191"/>
      <c r="R205" s="191"/>
      <c r="S205" s="191"/>
      <c r="T205" s="191"/>
      <c r="U205" s="191"/>
    </row>
    <row r="206" spans="1:21">
      <c r="A206" s="486">
        <v>5.8</v>
      </c>
      <c r="B206" s="447"/>
      <c r="C206" s="464" t="s">
        <v>220</v>
      </c>
      <c r="D206" s="543"/>
      <c r="E206" s="467"/>
      <c r="F206" s="544"/>
      <c r="G206" s="474"/>
      <c r="H206" s="461"/>
      <c r="I206" s="462"/>
      <c r="J206" s="463"/>
      <c r="K206" s="455"/>
      <c r="L206" s="103"/>
      <c r="M206" s="190"/>
      <c r="N206" s="190"/>
      <c r="O206" s="190"/>
      <c r="P206" s="191"/>
      <c r="Q206" s="191"/>
      <c r="R206" s="191"/>
      <c r="S206" s="191"/>
      <c r="T206" s="191"/>
      <c r="U206" s="191"/>
    </row>
    <row r="207" spans="1:21">
      <c r="A207" s="486"/>
      <c r="B207" s="447"/>
      <c r="C207" s="464"/>
      <c r="D207" s="545"/>
      <c r="E207" s="467"/>
      <c r="F207" s="544"/>
      <c r="G207" s="466"/>
      <c r="H207" s="461"/>
      <c r="I207" s="462"/>
      <c r="J207" s="463"/>
      <c r="K207" s="455"/>
      <c r="L207" s="103"/>
      <c r="M207" s="190"/>
      <c r="N207" s="190"/>
      <c r="O207" s="190"/>
      <c r="P207" s="191"/>
      <c r="Q207" s="191"/>
      <c r="R207" s="191"/>
      <c r="S207" s="191"/>
      <c r="T207" s="191"/>
      <c r="U207" s="191"/>
    </row>
    <row r="208" spans="1:21">
      <c r="A208" s="486"/>
      <c r="B208" s="447"/>
      <c r="C208" s="464" t="s">
        <v>221</v>
      </c>
      <c r="D208" s="545"/>
      <c r="E208" s="467"/>
      <c r="F208" s="544"/>
      <c r="G208" s="466"/>
      <c r="H208" s="461"/>
      <c r="I208" s="462"/>
      <c r="J208" s="463"/>
      <c r="K208" s="455"/>
      <c r="L208" s="103"/>
      <c r="M208" s="190"/>
      <c r="N208" s="190"/>
      <c r="O208" s="190"/>
      <c r="P208" s="191"/>
      <c r="Q208" s="191"/>
      <c r="R208" s="191"/>
      <c r="S208" s="191"/>
      <c r="T208" s="191"/>
      <c r="U208" s="191"/>
    </row>
    <row r="209" spans="1:21">
      <c r="A209" s="487"/>
      <c r="B209" s="447"/>
      <c r="C209" s="457"/>
      <c r="D209" s="458"/>
      <c r="E209" s="459"/>
      <c r="F209" s="503"/>
      <c r="G209" s="460"/>
      <c r="H209" s="461"/>
      <c r="I209" s="462"/>
      <c r="J209" s="463"/>
      <c r="K209" s="455"/>
      <c r="L209" s="103"/>
      <c r="M209" s="190"/>
      <c r="N209" s="190"/>
      <c r="O209" s="190"/>
      <c r="P209" s="191"/>
      <c r="Q209" s="191"/>
      <c r="R209" s="191"/>
      <c r="S209" s="191"/>
      <c r="T209" s="191"/>
      <c r="U209" s="191"/>
    </row>
    <row r="210" spans="1:21" s="446" customFormat="1">
      <c r="A210" s="486"/>
      <c r="B210" s="485"/>
      <c r="C210" s="457" t="s">
        <v>222</v>
      </c>
      <c r="D210" s="465"/>
      <c r="E210" s="494"/>
      <c r="F210" s="503"/>
      <c r="G210" s="460" t="s">
        <v>108</v>
      </c>
      <c r="H210" s="461"/>
      <c r="I210" s="462">
        <f>(175000/11000)*(3041)</f>
        <v>48379.545454545449</v>
      </c>
      <c r="J210" s="463">
        <f>I210</f>
        <v>48379.545454545449</v>
      </c>
      <c r="K210" s="455" t="s">
        <v>210</v>
      </c>
      <c r="L210" s="509"/>
      <c r="M210" s="445"/>
      <c r="N210" s="445"/>
      <c r="O210" s="445"/>
      <c r="P210" s="191"/>
      <c r="Q210" s="191"/>
      <c r="R210" s="191"/>
      <c r="S210" s="191"/>
      <c r="T210" s="191"/>
      <c r="U210" s="191"/>
    </row>
    <row r="211" spans="1:21" s="446" customFormat="1">
      <c r="A211" s="486"/>
      <c r="B211" s="485"/>
      <c r="C211" s="546"/>
      <c r="D211" s="465"/>
      <c r="E211" s="494"/>
      <c r="F211" s="503"/>
      <c r="G211" s="460"/>
      <c r="H211" s="461"/>
      <c r="I211" s="462"/>
      <c r="J211" s="463"/>
      <c r="K211" s="455"/>
      <c r="L211" s="510"/>
      <c r="M211" s="445"/>
      <c r="N211" s="445"/>
      <c r="O211" s="445"/>
      <c r="P211" s="191"/>
      <c r="Q211" s="191"/>
      <c r="R211" s="191"/>
      <c r="S211" s="191"/>
      <c r="T211" s="191"/>
      <c r="U211" s="191"/>
    </row>
    <row r="212" spans="1:21" s="446" customFormat="1">
      <c r="A212" s="486"/>
      <c r="B212" s="485"/>
      <c r="C212" s="547" t="s">
        <v>223</v>
      </c>
      <c r="D212" s="465"/>
      <c r="E212" s="494"/>
      <c r="F212" s="503">
        <v>3041</v>
      </c>
      <c r="G212" s="460" t="s">
        <v>92</v>
      </c>
      <c r="H212" s="461"/>
      <c r="I212" s="462">
        <f>45</f>
        <v>45</v>
      </c>
      <c r="J212" s="463">
        <f>F212*I212</f>
        <v>136845</v>
      </c>
      <c r="K212" s="455"/>
      <c r="L212" s="511"/>
      <c r="M212" s="445"/>
      <c r="N212" s="445"/>
      <c r="O212" s="445"/>
      <c r="P212" s="191"/>
      <c r="Q212" s="191"/>
      <c r="R212" s="191"/>
      <c r="S212" s="191"/>
      <c r="T212" s="191"/>
      <c r="U212" s="191"/>
    </row>
    <row r="213" spans="1:21" s="446" customFormat="1">
      <c r="A213" s="486"/>
      <c r="B213" s="485"/>
      <c r="C213" s="547"/>
      <c r="D213" s="465"/>
      <c r="E213" s="494"/>
      <c r="F213" s="503"/>
      <c r="G213" s="460"/>
      <c r="H213" s="461"/>
      <c r="I213" s="462"/>
      <c r="J213" s="463"/>
      <c r="K213" s="455"/>
      <c r="L213" s="511"/>
      <c r="M213" s="445"/>
      <c r="N213" s="445"/>
      <c r="O213" s="445"/>
      <c r="P213" s="191"/>
      <c r="Q213" s="191"/>
      <c r="R213" s="191"/>
      <c r="S213" s="191"/>
      <c r="T213" s="191"/>
      <c r="U213" s="191"/>
    </row>
    <row r="214" spans="1:21" s="446" customFormat="1">
      <c r="A214" s="486"/>
      <c r="B214" s="485"/>
      <c r="C214" s="548" t="s">
        <v>224</v>
      </c>
      <c r="D214" s="465"/>
      <c r="E214" s="494"/>
      <c r="F214" s="503"/>
      <c r="G214" s="460" t="s">
        <v>129</v>
      </c>
      <c r="H214" s="461"/>
      <c r="I214" s="539" t="s">
        <v>225</v>
      </c>
      <c r="J214" s="463" t="str">
        <f>I214</f>
        <v>£40000,00</v>
      </c>
      <c r="K214" s="455"/>
      <c r="L214" s="509"/>
      <c r="M214" s="445"/>
      <c r="N214" s="445"/>
      <c r="O214" s="445"/>
      <c r="P214" s="191"/>
      <c r="Q214" s="191"/>
      <c r="R214" s="191"/>
      <c r="S214" s="191"/>
      <c r="T214" s="191"/>
      <c r="U214" s="191"/>
    </row>
    <row r="215" spans="1:21" s="446" customFormat="1">
      <c r="A215" s="486"/>
      <c r="B215" s="485"/>
      <c r="C215" s="546"/>
      <c r="D215" s="465"/>
      <c r="E215" s="494"/>
      <c r="F215" s="503"/>
      <c r="G215" s="460"/>
      <c r="H215" s="461"/>
      <c r="I215" s="462"/>
      <c r="J215" s="463"/>
      <c r="K215" s="455"/>
      <c r="L215" s="510"/>
      <c r="M215" s="445"/>
      <c r="N215" s="445"/>
      <c r="O215" s="445"/>
      <c r="P215" s="191"/>
      <c r="Q215" s="191"/>
      <c r="R215" s="191"/>
      <c r="S215" s="191"/>
      <c r="T215" s="191"/>
      <c r="U215" s="191"/>
    </row>
    <row r="216" spans="1:21" s="446" customFormat="1">
      <c r="A216" s="549">
        <v>5.0999999999999996</v>
      </c>
      <c r="B216" s="550"/>
      <c r="C216" s="464" t="s">
        <v>226</v>
      </c>
      <c r="D216" s="465"/>
      <c r="E216" s="494"/>
      <c r="F216" s="503"/>
      <c r="G216" s="460"/>
      <c r="H216" s="461"/>
      <c r="I216" s="462"/>
      <c r="J216" s="463"/>
      <c r="K216" s="455"/>
      <c r="L216" s="510"/>
      <c r="M216" s="445"/>
      <c r="N216" s="445"/>
      <c r="O216" s="445"/>
      <c r="P216" s="191"/>
      <c r="Q216" s="191"/>
      <c r="R216" s="191"/>
      <c r="S216" s="191"/>
      <c r="T216" s="191"/>
      <c r="U216" s="191"/>
    </row>
    <row r="217" spans="1:21" s="446" customFormat="1">
      <c r="A217" s="486"/>
      <c r="B217" s="485"/>
      <c r="C217" s="464"/>
      <c r="D217" s="465"/>
      <c r="E217" s="494"/>
      <c r="F217" s="503"/>
      <c r="G217" s="460"/>
      <c r="H217" s="461"/>
      <c r="I217" s="462"/>
      <c r="J217" s="463"/>
      <c r="K217" s="455"/>
      <c r="L217" s="510"/>
      <c r="M217" s="445"/>
      <c r="N217" s="445"/>
      <c r="O217" s="445"/>
      <c r="P217" s="191"/>
      <c r="Q217" s="191"/>
      <c r="R217" s="191"/>
      <c r="S217" s="191"/>
      <c r="T217" s="191"/>
      <c r="U217" s="191"/>
    </row>
    <row r="218" spans="1:21" s="446" customFormat="1">
      <c r="A218" s="491" t="s">
        <v>227</v>
      </c>
      <c r="B218" s="485"/>
      <c r="C218" s="457" t="s">
        <v>228</v>
      </c>
      <c r="D218" s="465"/>
      <c r="E218" s="494"/>
      <c r="F218" s="503">
        <v>2</v>
      </c>
      <c r="G218" s="460" t="s">
        <v>131</v>
      </c>
      <c r="H218" s="461"/>
      <c r="I218" s="462">
        <f>145000</f>
        <v>145000</v>
      </c>
      <c r="J218" s="463">
        <f>F218*I218</f>
        <v>290000</v>
      </c>
      <c r="K218" s="455"/>
      <c r="L218" s="509"/>
      <c r="M218" s="445"/>
      <c r="N218" s="445"/>
      <c r="O218" s="445"/>
      <c r="P218" s="191"/>
      <c r="Q218" s="191"/>
      <c r="R218" s="191"/>
      <c r="S218" s="191"/>
      <c r="T218" s="191"/>
      <c r="U218" s="191"/>
    </row>
    <row r="219" spans="1:21" s="446" customFormat="1">
      <c r="A219" s="486"/>
      <c r="B219" s="485"/>
      <c r="C219" s="464"/>
      <c r="D219" s="465"/>
      <c r="E219" s="494"/>
      <c r="F219" s="503"/>
      <c r="G219" s="460"/>
      <c r="H219" s="461"/>
      <c r="I219" s="462"/>
      <c r="J219" s="463"/>
      <c r="K219" s="455"/>
      <c r="L219" s="510"/>
      <c r="M219" s="445"/>
      <c r="N219" s="445"/>
      <c r="O219" s="445"/>
      <c r="P219" s="191"/>
      <c r="Q219" s="191"/>
      <c r="R219" s="191"/>
      <c r="S219" s="191"/>
      <c r="T219" s="191"/>
      <c r="U219" s="191"/>
    </row>
    <row r="220" spans="1:21" s="446" customFormat="1">
      <c r="A220" s="486"/>
      <c r="B220" s="485"/>
      <c r="C220" s="464"/>
      <c r="D220" s="465"/>
      <c r="E220" s="494"/>
      <c r="F220" s="503"/>
      <c r="G220" s="460"/>
      <c r="H220" s="461"/>
      <c r="I220" s="462"/>
      <c r="J220" s="463"/>
      <c r="K220" s="455"/>
      <c r="L220" s="510"/>
      <c r="M220" s="445"/>
      <c r="N220" s="445"/>
      <c r="O220" s="445"/>
      <c r="P220" s="191"/>
      <c r="Q220" s="191"/>
      <c r="R220" s="191"/>
      <c r="S220" s="191"/>
      <c r="T220" s="191"/>
      <c r="U220" s="191"/>
    </row>
    <row r="221" spans="1:21" s="446" customFormat="1">
      <c r="A221" s="549">
        <v>5.1100000000000003</v>
      </c>
      <c r="B221" s="485"/>
      <c r="C221" s="464" t="s">
        <v>229</v>
      </c>
      <c r="D221" s="465"/>
      <c r="E221" s="494"/>
      <c r="F221" s="503"/>
      <c r="G221" s="460"/>
      <c r="H221" s="461"/>
      <c r="I221" s="462"/>
      <c r="J221" s="463"/>
      <c r="K221" s="455"/>
      <c r="L221" s="510"/>
      <c r="M221" s="445"/>
      <c r="N221" s="445"/>
      <c r="O221" s="445"/>
      <c r="P221" s="191"/>
      <c r="Q221" s="191"/>
      <c r="R221" s="191"/>
      <c r="S221" s="191"/>
      <c r="T221" s="191"/>
      <c r="U221" s="191"/>
    </row>
    <row r="222" spans="1:21" s="446" customFormat="1">
      <c r="A222" s="486"/>
      <c r="B222" s="485"/>
      <c r="C222" s="464"/>
      <c r="D222" s="465"/>
      <c r="E222" s="494"/>
      <c r="F222" s="503"/>
      <c r="G222" s="460"/>
      <c r="H222" s="461"/>
      <c r="I222" s="462"/>
      <c r="J222" s="463"/>
      <c r="K222" s="455"/>
      <c r="L222" s="510"/>
      <c r="M222" s="445"/>
      <c r="N222" s="445"/>
      <c r="O222" s="445"/>
      <c r="P222" s="191"/>
      <c r="Q222" s="191"/>
      <c r="R222" s="191"/>
      <c r="S222" s="191"/>
      <c r="T222" s="191"/>
      <c r="U222" s="191"/>
    </row>
    <row r="223" spans="1:21" s="446" customFormat="1">
      <c r="A223" s="491" t="s">
        <v>230</v>
      </c>
      <c r="B223" s="485"/>
      <c r="C223" s="457" t="s">
        <v>231</v>
      </c>
      <c r="D223" s="465"/>
      <c r="E223" s="494"/>
      <c r="F223" s="503"/>
      <c r="G223" s="460" t="s">
        <v>129</v>
      </c>
      <c r="H223" s="461"/>
      <c r="I223" s="462">
        <f>(23000/11000)*(3041)</f>
        <v>6358.454545454545</v>
      </c>
      <c r="J223" s="463">
        <f>I223</f>
        <v>6358.454545454545</v>
      </c>
      <c r="K223" s="455" t="s">
        <v>210</v>
      </c>
      <c r="L223" s="509"/>
      <c r="M223" s="445"/>
      <c r="N223" s="445"/>
      <c r="O223" s="445"/>
      <c r="P223" s="191"/>
      <c r="Q223" s="191"/>
      <c r="R223" s="191"/>
      <c r="S223" s="191"/>
      <c r="T223" s="191"/>
      <c r="U223" s="191"/>
    </row>
    <row r="224" spans="1:21" s="446" customFormat="1">
      <c r="A224" s="486"/>
      <c r="B224" s="485"/>
      <c r="C224" s="457"/>
      <c r="D224" s="465"/>
      <c r="E224" s="494"/>
      <c r="F224" s="503"/>
      <c r="G224" s="460"/>
      <c r="H224" s="461"/>
      <c r="I224" s="462"/>
      <c r="J224" s="463"/>
      <c r="K224" s="455"/>
      <c r="L224" s="509"/>
      <c r="M224" s="445"/>
      <c r="N224" s="445"/>
      <c r="O224" s="445"/>
      <c r="P224" s="191"/>
      <c r="Q224" s="191"/>
      <c r="R224" s="191"/>
      <c r="S224" s="191"/>
      <c r="T224" s="191"/>
      <c r="U224" s="191"/>
    </row>
    <row r="225" spans="1:21" s="446" customFormat="1">
      <c r="A225" s="486"/>
      <c r="B225" s="485"/>
      <c r="C225" s="457" t="s">
        <v>232</v>
      </c>
      <c r="D225" s="465"/>
      <c r="E225" s="494"/>
      <c r="F225" s="503">
        <v>3041</v>
      </c>
      <c r="G225" s="460" t="s">
        <v>92</v>
      </c>
      <c r="H225" s="461"/>
      <c r="I225" s="462">
        <f>(2)</f>
        <v>2</v>
      </c>
      <c r="J225" s="463">
        <f>F225*I225</f>
        <v>6082</v>
      </c>
      <c r="K225" s="455"/>
      <c r="L225" s="509"/>
      <c r="M225" s="445"/>
      <c r="N225" s="445"/>
      <c r="O225" s="445"/>
      <c r="P225" s="191"/>
      <c r="Q225" s="191"/>
      <c r="R225" s="191"/>
      <c r="S225" s="191"/>
      <c r="T225" s="191"/>
      <c r="U225" s="191"/>
    </row>
    <row r="226" spans="1:21" s="446" customFormat="1">
      <c r="A226" s="486"/>
      <c r="B226" s="485"/>
      <c r="C226" s="464"/>
      <c r="D226" s="465"/>
      <c r="E226" s="494"/>
      <c r="F226" s="503"/>
      <c r="G226" s="460"/>
      <c r="H226" s="461"/>
      <c r="I226" s="462"/>
      <c r="J226" s="463"/>
      <c r="K226" s="455"/>
      <c r="L226" s="510"/>
      <c r="M226" s="445"/>
      <c r="N226" s="445"/>
      <c r="O226" s="445"/>
      <c r="P226" s="191"/>
      <c r="Q226" s="191"/>
      <c r="R226" s="191"/>
      <c r="S226" s="191"/>
      <c r="T226" s="191"/>
      <c r="U226" s="191"/>
    </row>
    <row r="227" spans="1:21">
      <c r="A227" s="549">
        <v>5.12</v>
      </c>
      <c r="B227" s="447"/>
      <c r="C227" s="464" t="s">
        <v>233</v>
      </c>
      <c r="D227" s="458"/>
      <c r="E227" s="459"/>
      <c r="F227" s="503"/>
      <c r="G227" s="460"/>
      <c r="H227" s="461"/>
      <c r="I227" s="462"/>
      <c r="J227" s="463"/>
      <c r="K227" s="456"/>
      <c r="L227" s="103"/>
      <c r="M227" s="190"/>
      <c r="N227" s="190"/>
      <c r="O227" s="190"/>
      <c r="P227" s="191"/>
      <c r="Q227" s="191"/>
      <c r="R227" s="191"/>
      <c r="S227" s="191"/>
      <c r="T227" s="191"/>
      <c r="U227" s="191"/>
    </row>
    <row r="228" spans="1:21">
      <c r="A228" s="549"/>
      <c r="B228" s="447"/>
      <c r="C228" s="457"/>
      <c r="D228" s="458"/>
      <c r="E228" s="459"/>
      <c r="F228" s="503"/>
      <c r="G228" s="460"/>
      <c r="H228" s="461"/>
      <c r="I228" s="462"/>
      <c r="J228" s="463"/>
      <c r="K228" s="456"/>
      <c r="L228" s="103"/>
      <c r="M228" s="190"/>
      <c r="N228" s="190"/>
      <c r="O228" s="190"/>
      <c r="P228" s="191"/>
      <c r="Q228" s="191"/>
      <c r="R228" s="191"/>
      <c r="S228" s="191"/>
      <c r="T228" s="191"/>
      <c r="U228" s="191"/>
    </row>
    <row r="229" spans="1:21">
      <c r="A229" s="549" t="s">
        <v>234</v>
      </c>
      <c r="B229" s="447"/>
      <c r="C229" s="457" t="s">
        <v>235</v>
      </c>
      <c r="D229" s="458"/>
      <c r="E229" s="459"/>
      <c r="F229" s="503">
        <v>3041</v>
      </c>
      <c r="G229" s="460" t="s">
        <v>92</v>
      </c>
      <c r="H229" s="461"/>
      <c r="I229" s="462">
        <f>(23)</f>
        <v>23</v>
      </c>
      <c r="J229" s="463">
        <f>F229*I229</f>
        <v>69943</v>
      </c>
      <c r="K229" s="456"/>
      <c r="L229" s="103"/>
      <c r="M229" s="190"/>
      <c r="N229" s="190"/>
      <c r="O229" s="190"/>
      <c r="P229" s="191"/>
      <c r="Q229" s="191"/>
      <c r="R229" s="191"/>
      <c r="S229" s="191"/>
      <c r="T229" s="191"/>
      <c r="U229" s="191"/>
    </row>
    <row r="230" spans="1:21">
      <c r="A230" s="549"/>
      <c r="B230" s="447"/>
      <c r="C230" s="457"/>
      <c r="D230" s="458"/>
      <c r="E230" s="459"/>
      <c r="F230" s="503"/>
      <c r="G230" s="460"/>
      <c r="H230" s="461"/>
      <c r="I230" s="462"/>
      <c r="J230" s="463"/>
      <c r="K230" s="456"/>
      <c r="L230" s="103"/>
      <c r="M230" s="190"/>
      <c r="N230" s="190"/>
      <c r="O230" s="190"/>
      <c r="P230" s="191"/>
      <c r="Q230" s="191"/>
      <c r="R230" s="191"/>
      <c r="S230" s="191"/>
      <c r="T230" s="191"/>
      <c r="U230" s="191"/>
    </row>
    <row r="231" spans="1:21">
      <c r="A231" s="549"/>
      <c r="B231" s="447"/>
      <c r="C231" s="457" t="s">
        <v>236</v>
      </c>
      <c r="D231" s="458"/>
      <c r="E231" s="459"/>
      <c r="F231" s="503">
        <v>3041</v>
      </c>
      <c r="G231" s="460" t="s">
        <v>92</v>
      </c>
      <c r="H231" s="461"/>
      <c r="I231" s="462">
        <f>(35)</f>
        <v>35</v>
      </c>
      <c r="J231" s="463">
        <f>F231*I231</f>
        <v>106435</v>
      </c>
      <c r="K231" s="456"/>
      <c r="L231" s="103"/>
      <c r="M231" s="190"/>
      <c r="N231" s="190"/>
      <c r="O231" s="190"/>
      <c r="P231" s="191"/>
      <c r="Q231" s="191"/>
      <c r="R231" s="191"/>
      <c r="S231" s="191"/>
      <c r="T231" s="191"/>
      <c r="U231" s="191"/>
    </row>
    <row r="232" spans="1:21">
      <c r="A232" s="549"/>
      <c r="B232" s="447"/>
      <c r="C232" s="457"/>
      <c r="D232" s="458"/>
      <c r="E232" s="459"/>
      <c r="F232" s="503"/>
      <c r="G232" s="460"/>
      <c r="H232" s="461"/>
      <c r="I232" s="462"/>
      <c r="J232" s="463"/>
      <c r="K232" s="456"/>
      <c r="L232" s="103"/>
      <c r="M232" s="190"/>
      <c r="N232" s="190"/>
      <c r="O232" s="190"/>
      <c r="P232" s="191"/>
      <c r="Q232" s="191"/>
      <c r="R232" s="191"/>
      <c r="S232" s="191"/>
      <c r="T232" s="191"/>
      <c r="U232" s="191"/>
    </row>
    <row r="233" spans="1:21" ht="26.45">
      <c r="A233" s="549"/>
      <c r="B233" s="447"/>
      <c r="C233" s="457" t="s">
        <v>237</v>
      </c>
      <c r="D233" s="458"/>
      <c r="E233" s="459"/>
      <c r="F233" s="503"/>
      <c r="G233" s="460" t="s">
        <v>108</v>
      </c>
      <c r="H233" s="461"/>
      <c r="I233" s="462">
        <f>(17500/11000)*(3041)</f>
        <v>4837.954545454545</v>
      </c>
      <c r="J233" s="463">
        <f>I233</f>
        <v>4837.954545454545</v>
      </c>
      <c r="K233" s="456" t="s">
        <v>238</v>
      </c>
      <c r="L233" s="103"/>
      <c r="M233" s="190"/>
      <c r="N233" s="190"/>
      <c r="O233" s="190"/>
      <c r="P233" s="191"/>
      <c r="Q233" s="191"/>
      <c r="R233" s="191"/>
      <c r="S233" s="191"/>
      <c r="T233" s="191"/>
      <c r="U233" s="191"/>
    </row>
    <row r="234" spans="1:21">
      <c r="A234" s="549"/>
      <c r="B234" s="447"/>
      <c r="C234" s="457"/>
      <c r="D234" s="458"/>
      <c r="E234" s="459"/>
      <c r="F234" s="503"/>
      <c r="G234" s="460"/>
      <c r="H234" s="461"/>
      <c r="I234" s="462"/>
      <c r="J234" s="463"/>
      <c r="K234" s="456"/>
      <c r="L234" s="103"/>
      <c r="M234" s="190"/>
      <c r="N234" s="190"/>
      <c r="O234" s="190"/>
      <c r="P234" s="191"/>
      <c r="Q234" s="191"/>
      <c r="R234" s="191"/>
      <c r="S234" s="191"/>
      <c r="T234" s="191"/>
      <c r="U234" s="191"/>
    </row>
    <row r="235" spans="1:21">
      <c r="A235" s="549"/>
      <c r="B235" s="447"/>
      <c r="C235" s="457" t="s">
        <v>239</v>
      </c>
      <c r="D235" s="458"/>
      <c r="E235" s="459"/>
      <c r="F235" s="503"/>
      <c r="G235" s="460" t="s">
        <v>108</v>
      </c>
      <c r="H235" s="461"/>
      <c r="I235" s="462">
        <f>(145000/11000)*(3041)</f>
        <v>40085.909090909088</v>
      </c>
      <c r="J235" s="463">
        <f>I235</f>
        <v>40085.909090909088</v>
      </c>
      <c r="K235" s="456" t="s">
        <v>210</v>
      </c>
      <c r="L235" s="103"/>
      <c r="M235" s="190"/>
      <c r="N235" s="190"/>
      <c r="O235" s="190"/>
      <c r="P235" s="191"/>
      <c r="Q235" s="191"/>
      <c r="R235" s="191"/>
      <c r="S235" s="191"/>
      <c r="T235" s="191"/>
      <c r="U235" s="191"/>
    </row>
    <row r="236" spans="1:21">
      <c r="A236" s="549"/>
      <c r="B236" s="447"/>
      <c r="C236" s="457"/>
      <c r="D236" s="458"/>
      <c r="E236" s="459"/>
      <c r="F236" s="503"/>
      <c r="G236" s="460"/>
      <c r="H236" s="461"/>
      <c r="I236" s="462"/>
      <c r="J236" s="463"/>
      <c r="K236" s="456"/>
      <c r="L236" s="103"/>
      <c r="M236" s="190"/>
      <c r="N236" s="190"/>
      <c r="O236" s="190"/>
      <c r="P236" s="191"/>
      <c r="Q236" s="191"/>
      <c r="R236" s="191"/>
      <c r="S236" s="191"/>
      <c r="T236" s="191"/>
      <c r="U236" s="191"/>
    </row>
    <row r="237" spans="1:21">
      <c r="A237" s="549"/>
      <c r="B237" s="447"/>
      <c r="C237" s="457" t="s">
        <v>240</v>
      </c>
      <c r="D237" s="458"/>
      <c r="E237" s="459"/>
      <c r="F237" s="503">
        <v>3041</v>
      </c>
      <c r="G237" s="460" t="s">
        <v>92</v>
      </c>
      <c r="H237" s="461"/>
      <c r="I237" s="462">
        <f>4</f>
        <v>4</v>
      </c>
      <c r="J237" s="463">
        <f>F237*I237</f>
        <v>12164</v>
      </c>
      <c r="K237" s="456"/>
      <c r="L237" s="103"/>
      <c r="M237" s="190"/>
      <c r="N237" s="190"/>
      <c r="O237" s="190"/>
      <c r="P237" s="191"/>
      <c r="Q237" s="191"/>
      <c r="R237" s="191"/>
      <c r="S237" s="191"/>
      <c r="T237" s="191"/>
      <c r="U237" s="191"/>
    </row>
    <row r="238" spans="1:21">
      <c r="A238" s="549"/>
      <c r="B238" s="447"/>
      <c r="C238" s="457"/>
      <c r="D238" s="458"/>
      <c r="E238" s="459"/>
      <c r="F238" s="503"/>
      <c r="G238" s="460"/>
      <c r="H238" s="461"/>
      <c r="I238" s="462"/>
      <c r="J238" s="463"/>
      <c r="K238" s="456"/>
      <c r="L238" s="103"/>
      <c r="M238" s="190"/>
      <c r="N238" s="190"/>
      <c r="O238" s="190"/>
      <c r="P238" s="191"/>
      <c r="Q238" s="191"/>
      <c r="R238" s="191"/>
      <c r="S238" s="191"/>
      <c r="T238" s="191"/>
      <c r="U238" s="191"/>
    </row>
    <row r="239" spans="1:21">
      <c r="A239" s="549"/>
      <c r="B239" s="447"/>
      <c r="C239" s="457" t="s">
        <v>241</v>
      </c>
      <c r="D239" s="458"/>
      <c r="E239" s="459"/>
      <c r="F239" s="503"/>
      <c r="G239" s="460" t="s">
        <v>108</v>
      </c>
      <c r="H239" s="461"/>
      <c r="I239" s="462">
        <f>(23000/11000)*(3041)</f>
        <v>6358.454545454545</v>
      </c>
      <c r="J239" s="463">
        <f>I239</f>
        <v>6358.454545454545</v>
      </c>
      <c r="K239" s="456" t="s">
        <v>210</v>
      </c>
      <c r="L239" s="103"/>
      <c r="M239" s="190"/>
      <c r="N239" s="190"/>
      <c r="O239" s="190"/>
      <c r="P239" s="191"/>
      <c r="Q239" s="191"/>
      <c r="R239" s="191"/>
      <c r="S239" s="191"/>
      <c r="T239" s="191"/>
      <c r="U239" s="191"/>
    </row>
    <row r="240" spans="1:21">
      <c r="A240" s="549"/>
      <c r="B240" s="447"/>
      <c r="C240" s="457"/>
      <c r="D240" s="458"/>
      <c r="E240" s="459"/>
      <c r="F240" s="503"/>
      <c r="G240" s="460"/>
      <c r="H240" s="461"/>
      <c r="I240" s="462"/>
      <c r="J240" s="463"/>
      <c r="K240" s="456"/>
      <c r="L240" s="103"/>
      <c r="M240" s="190"/>
      <c r="N240" s="190"/>
      <c r="O240" s="190"/>
      <c r="P240" s="191"/>
      <c r="Q240" s="191"/>
      <c r="R240" s="191"/>
      <c r="S240" s="191"/>
      <c r="T240" s="191"/>
      <c r="U240" s="191"/>
    </row>
    <row r="241" spans="1:21">
      <c r="A241" s="549"/>
      <c r="B241" s="447"/>
      <c r="C241" s="457" t="s">
        <v>242</v>
      </c>
      <c r="D241" s="458"/>
      <c r="E241" s="459"/>
      <c r="F241" s="503">
        <v>3041</v>
      </c>
      <c r="G241" s="460" t="s">
        <v>92</v>
      </c>
      <c r="H241" s="461"/>
      <c r="I241" s="462">
        <f>(130)</f>
        <v>130</v>
      </c>
      <c r="J241" s="463">
        <f>F241*I241</f>
        <v>395330</v>
      </c>
      <c r="K241" s="456"/>
      <c r="L241" s="103"/>
      <c r="M241" s="190"/>
      <c r="N241" s="190"/>
      <c r="O241" s="190"/>
      <c r="P241" s="191"/>
      <c r="Q241" s="191"/>
      <c r="R241" s="191"/>
      <c r="S241" s="191"/>
      <c r="T241" s="191"/>
      <c r="U241" s="191"/>
    </row>
    <row r="242" spans="1:21" ht="12.6" customHeight="1">
      <c r="A242" s="549"/>
      <c r="B242" s="447"/>
      <c r="C242" s="457"/>
      <c r="D242" s="458"/>
      <c r="E242" s="459"/>
      <c r="F242" s="503"/>
      <c r="G242" s="460"/>
      <c r="H242" s="461"/>
      <c r="I242" s="462"/>
      <c r="J242" s="463"/>
      <c r="K242" s="456"/>
      <c r="L242" s="103"/>
      <c r="M242" s="190"/>
      <c r="N242" s="190"/>
      <c r="O242" s="190"/>
      <c r="P242" s="191"/>
      <c r="Q242" s="191"/>
      <c r="R242" s="191"/>
      <c r="S242" s="191"/>
      <c r="T242" s="191"/>
      <c r="U242" s="191"/>
    </row>
    <row r="243" spans="1:21" ht="12.6" customHeight="1">
      <c r="A243" s="549">
        <v>5.13</v>
      </c>
      <c r="B243" s="447"/>
      <c r="C243" s="464" t="s">
        <v>243</v>
      </c>
      <c r="D243" s="458"/>
      <c r="E243" s="459"/>
      <c r="F243" s="503"/>
      <c r="G243" s="460"/>
      <c r="H243" s="461"/>
      <c r="I243" s="462"/>
      <c r="J243" s="463"/>
      <c r="K243" s="456"/>
      <c r="L243" s="103"/>
      <c r="M243" s="190"/>
      <c r="N243" s="190"/>
      <c r="O243" s="190"/>
      <c r="P243" s="191"/>
      <c r="Q243" s="191"/>
      <c r="R243" s="191"/>
      <c r="S243" s="191"/>
      <c r="T243" s="191"/>
      <c r="U243" s="191"/>
    </row>
    <row r="244" spans="1:21" ht="12.6" customHeight="1">
      <c r="A244" s="549"/>
      <c r="B244" s="447"/>
      <c r="C244" s="464"/>
      <c r="D244" s="458"/>
      <c r="E244" s="459"/>
      <c r="F244" s="503"/>
      <c r="G244" s="460"/>
      <c r="H244" s="461"/>
      <c r="I244" s="462"/>
      <c r="J244" s="463"/>
      <c r="K244" s="456"/>
      <c r="L244" s="103"/>
      <c r="M244" s="190"/>
      <c r="N244" s="190"/>
      <c r="O244" s="190"/>
      <c r="P244" s="191"/>
      <c r="Q244" s="191"/>
      <c r="R244" s="191"/>
      <c r="S244" s="191"/>
      <c r="T244" s="191"/>
      <c r="U244" s="191"/>
    </row>
    <row r="245" spans="1:21" ht="27" customHeight="1">
      <c r="A245" s="549" t="s">
        <v>244</v>
      </c>
      <c r="B245" s="447"/>
      <c r="C245" s="457" t="s">
        <v>245</v>
      </c>
      <c r="D245" s="458"/>
      <c r="E245" s="459"/>
      <c r="F245" s="503">
        <v>3041</v>
      </c>
      <c r="G245" s="460" t="s">
        <v>92</v>
      </c>
      <c r="H245" s="461"/>
      <c r="I245" s="462">
        <f>(17)</f>
        <v>17</v>
      </c>
      <c r="J245" s="463">
        <f>F245*I245</f>
        <v>51697</v>
      </c>
      <c r="K245" s="456"/>
      <c r="L245" s="103"/>
      <c r="M245" s="190"/>
      <c r="N245" s="190"/>
      <c r="O245" s="190"/>
      <c r="P245" s="191"/>
      <c r="Q245" s="191"/>
      <c r="R245" s="191"/>
      <c r="S245" s="191"/>
      <c r="T245" s="191"/>
      <c r="U245" s="191"/>
    </row>
    <row r="246" spans="1:21" ht="12.6" customHeight="1">
      <c r="A246" s="549"/>
      <c r="B246" s="447"/>
      <c r="C246" s="457"/>
      <c r="D246" s="458"/>
      <c r="E246" s="459"/>
      <c r="F246" s="503"/>
      <c r="G246" s="460"/>
      <c r="H246" s="461"/>
      <c r="I246" s="462"/>
      <c r="J246" s="463"/>
      <c r="K246" s="456"/>
      <c r="L246" s="103"/>
      <c r="M246" s="190"/>
      <c r="N246" s="190"/>
      <c r="O246" s="190"/>
      <c r="P246" s="191"/>
      <c r="Q246" s="191"/>
      <c r="R246" s="191"/>
      <c r="S246" s="191"/>
      <c r="T246" s="191"/>
      <c r="U246" s="191"/>
    </row>
    <row r="247" spans="1:21" ht="12.6" customHeight="1" thickBot="1">
      <c r="A247" s="524">
        <v>8</v>
      </c>
      <c r="B247" s="513"/>
      <c r="C247" s="523" t="s">
        <v>246</v>
      </c>
      <c r="D247" s="514"/>
      <c r="E247" s="515"/>
      <c r="F247" s="516"/>
      <c r="G247" s="517"/>
      <c r="H247" s="518"/>
      <c r="I247" s="519"/>
      <c r="J247" s="520"/>
      <c r="K247" s="552">
        <f>J249+J251+J253+J255+J257+J259+J261+J263+J266</f>
        <v>418824.28571428568</v>
      </c>
      <c r="L247" s="103"/>
      <c r="M247" s="190"/>
      <c r="N247" s="190"/>
      <c r="O247" s="190"/>
      <c r="P247" s="191"/>
      <c r="Q247" s="191"/>
      <c r="R247" s="191"/>
      <c r="S247" s="191"/>
      <c r="T247" s="191"/>
      <c r="U247" s="191"/>
    </row>
    <row r="248" spans="1:21" ht="39.6" customHeight="1" thickTop="1">
      <c r="A248" s="722">
        <v>8.1</v>
      </c>
      <c r="B248" s="513"/>
      <c r="C248" s="523" t="s">
        <v>247</v>
      </c>
      <c r="D248" s="514"/>
      <c r="E248" s="515"/>
      <c r="F248" s="516"/>
      <c r="G248" s="517"/>
      <c r="H248" s="518"/>
      <c r="I248" s="525"/>
      <c r="J248" s="526"/>
      <c r="K248" s="596" t="s">
        <v>169</v>
      </c>
      <c r="L248" s="103"/>
      <c r="M248" s="190"/>
      <c r="N248" s="190"/>
      <c r="O248" s="190"/>
      <c r="P248" s="191"/>
      <c r="Q248" s="191"/>
      <c r="R248" s="191"/>
      <c r="S248" s="191"/>
      <c r="T248" s="191"/>
      <c r="U248" s="191"/>
    </row>
    <row r="249" spans="1:21">
      <c r="A249" s="527"/>
      <c r="B249" s="513"/>
      <c r="C249" s="528" t="s">
        <v>248</v>
      </c>
      <c r="D249" s="529"/>
      <c r="E249" s="530"/>
      <c r="F249" s="531">
        <v>50</v>
      </c>
      <c r="G249" s="532" t="s">
        <v>92</v>
      </c>
      <c r="H249" s="533"/>
      <c r="I249" s="534">
        <v>11</v>
      </c>
      <c r="J249" s="535">
        <f>F249*I249</f>
        <v>550</v>
      </c>
      <c r="K249" s="521"/>
      <c r="L249" s="103"/>
      <c r="M249" s="190"/>
      <c r="N249" s="190"/>
      <c r="O249" s="190"/>
      <c r="P249" s="191"/>
      <c r="Q249" s="191"/>
      <c r="R249" s="191"/>
      <c r="S249" s="191"/>
      <c r="T249" s="191"/>
      <c r="U249" s="191"/>
    </row>
    <row r="250" spans="1:21">
      <c r="A250" s="527"/>
      <c r="B250" s="513"/>
      <c r="C250" s="528"/>
      <c r="D250" s="529"/>
      <c r="E250" s="530"/>
      <c r="F250" s="531"/>
      <c r="G250" s="532"/>
      <c r="H250" s="533"/>
      <c r="I250" s="534"/>
      <c r="J250" s="535"/>
      <c r="K250" s="521"/>
      <c r="L250" s="103"/>
      <c r="M250" s="190"/>
      <c r="N250" s="190"/>
      <c r="O250" s="190"/>
      <c r="P250" s="191"/>
      <c r="Q250" s="191"/>
      <c r="R250" s="191"/>
      <c r="S250" s="191"/>
      <c r="T250" s="191"/>
      <c r="U250" s="191"/>
    </row>
    <row r="251" spans="1:21">
      <c r="A251" s="527"/>
      <c r="B251" s="513"/>
      <c r="C251" s="721" t="s">
        <v>249</v>
      </c>
      <c r="D251" s="529"/>
      <c r="E251" s="530"/>
      <c r="F251" s="531">
        <v>150</v>
      </c>
      <c r="G251" s="532" t="s">
        <v>92</v>
      </c>
      <c r="H251" s="533"/>
      <c r="I251" s="534">
        <v>50</v>
      </c>
      <c r="J251" s="535">
        <f>F251*I251</f>
        <v>7500</v>
      </c>
      <c r="K251" s="521"/>
      <c r="L251" s="103"/>
      <c r="M251" s="190"/>
      <c r="N251" s="190"/>
      <c r="O251" s="190"/>
      <c r="P251" s="191"/>
      <c r="Q251" s="191"/>
      <c r="R251" s="191"/>
      <c r="S251" s="191"/>
      <c r="T251" s="191"/>
      <c r="U251" s="191"/>
    </row>
    <row r="252" spans="1:21">
      <c r="A252" s="527"/>
      <c r="B252" s="513"/>
      <c r="C252" s="721"/>
      <c r="D252" s="529"/>
      <c r="E252" s="530"/>
      <c r="F252" s="531"/>
      <c r="G252" s="532"/>
      <c r="H252" s="533"/>
      <c r="I252" s="534"/>
      <c r="J252" s="535"/>
      <c r="K252" s="521"/>
      <c r="L252" s="103"/>
      <c r="M252" s="190"/>
      <c r="N252" s="190"/>
      <c r="O252" s="190"/>
      <c r="P252" s="191"/>
      <c r="Q252" s="191"/>
      <c r="R252" s="191"/>
      <c r="S252" s="191"/>
      <c r="T252" s="191"/>
      <c r="U252" s="191"/>
    </row>
    <row r="253" spans="1:21">
      <c r="A253" s="527"/>
      <c r="B253" s="513"/>
      <c r="C253" s="721" t="s">
        <v>250</v>
      </c>
      <c r="D253" s="529"/>
      <c r="E253" s="530"/>
      <c r="F253" s="531">
        <v>300</v>
      </c>
      <c r="G253" s="532" t="s">
        <v>92</v>
      </c>
      <c r="H253" s="533"/>
      <c r="I253" s="534">
        <v>24</v>
      </c>
      <c r="J253" s="535">
        <f>F253*I253</f>
        <v>7200</v>
      </c>
      <c r="K253" s="521"/>
      <c r="L253" s="103"/>
      <c r="M253" s="190"/>
      <c r="N253" s="190"/>
      <c r="O253" s="190"/>
      <c r="P253" s="191"/>
      <c r="Q253" s="191"/>
      <c r="R253" s="191"/>
      <c r="S253" s="191"/>
      <c r="T253" s="191"/>
      <c r="U253" s="191"/>
    </row>
    <row r="254" spans="1:21">
      <c r="A254" s="527"/>
      <c r="B254" s="513"/>
      <c r="C254" s="721"/>
      <c r="D254" s="529"/>
      <c r="E254" s="530"/>
      <c r="F254" s="531"/>
      <c r="G254" s="532"/>
      <c r="H254" s="533"/>
      <c r="I254" s="534"/>
      <c r="J254" s="535"/>
      <c r="K254" s="521"/>
      <c r="L254" s="103"/>
      <c r="M254" s="190"/>
      <c r="N254" s="190"/>
      <c r="O254" s="190"/>
      <c r="P254" s="191"/>
      <c r="Q254" s="191"/>
      <c r="R254" s="191"/>
      <c r="S254" s="191"/>
      <c r="T254" s="191"/>
      <c r="U254" s="191"/>
    </row>
    <row r="255" spans="1:21">
      <c r="A255" s="527"/>
      <c r="B255" s="513"/>
      <c r="C255" s="721" t="s">
        <v>251</v>
      </c>
      <c r="D255" s="529"/>
      <c r="E255" s="530"/>
      <c r="F255" s="531">
        <v>50</v>
      </c>
      <c r="G255" s="532" t="s">
        <v>252</v>
      </c>
      <c r="H255" s="533"/>
      <c r="I255" s="534">
        <f>2200/3500*3041</f>
        <v>1911.4857142857143</v>
      </c>
      <c r="J255" s="535">
        <f>F255*I255</f>
        <v>95574.28571428571</v>
      </c>
      <c r="K255" s="521" t="s">
        <v>158</v>
      </c>
      <c r="L255" s="103"/>
      <c r="M255" s="190"/>
      <c r="N255" s="190"/>
      <c r="O255" s="190"/>
      <c r="P255" s="191"/>
      <c r="Q255" s="191"/>
      <c r="R255" s="191"/>
      <c r="S255" s="191"/>
      <c r="T255" s="191"/>
      <c r="U255" s="191"/>
    </row>
    <row r="256" spans="1:21">
      <c r="A256" s="527"/>
      <c r="B256" s="513"/>
      <c r="C256" s="721"/>
      <c r="D256" s="529"/>
      <c r="E256" s="530"/>
      <c r="F256" s="531"/>
      <c r="G256" s="532"/>
      <c r="H256" s="533"/>
      <c r="I256" s="534"/>
      <c r="J256" s="535"/>
      <c r="K256" s="521"/>
      <c r="L256" s="103"/>
      <c r="M256" s="190"/>
      <c r="N256" s="190"/>
      <c r="O256" s="190"/>
      <c r="P256" s="191"/>
      <c r="Q256" s="191"/>
      <c r="R256" s="191"/>
      <c r="S256" s="191"/>
      <c r="T256" s="191"/>
      <c r="U256" s="191"/>
    </row>
    <row r="257" spans="1:21">
      <c r="A257" s="527"/>
      <c r="B257" s="513"/>
      <c r="C257" s="721" t="s">
        <v>253</v>
      </c>
      <c r="D257" s="529"/>
      <c r="E257" s="530"/>
      <c r="F257" s="531">
        <v>1000</v>
      </c>
      <c r="G257" s="532"/>
      <c r="H257" s="533"/>
      <c r="I257" s="534">
        <v>39</v>
      </c>
      <c r="J257" s="535">
        <f>F257*I257</f>
        <v>39000</v>
      </c>
      <c r="K257" s="521"/>
      <c r="L257" s="103"/>
      <c r="M257" s="190"/>
      <c r="N257" s="190"/>
      <c r="O257" s="190"/>
      <c r="P257" s="191"/>
      <c r="Q257" s="191"/>
      <c r="R257" s="191"/>
      <c r="S257" s="191"/>
      <c r="T257" s="191"/>
      <c r="U257" s="191"/>
    </row>
    <row r="258" spans="1:21">
      <c r="A258" s="527"/>
      <c r="B258" s="513"/>
      <c r="C258" s="721"/>
      <c r="D258" s="529"/>
      <c r="E258" s="530"/>
      <c r="F258" s="531"/>
      <c r="G258" s="532"/>
      <c r="H258" s="533"/>
      <c r="I258" s="534"/>
      <c r="J258" s="535"/>
      <c r="K258" s="521"/>
      <c r="L258" s="103"/>
      <c r="M258" s="190"/>
      <c r="N258" s="190"/>
      <c r="O258" s="190"/>
      <c r="P258" s="191"/>
      <c r="Q258" s="191"/>
      <c r="R258" s="191"/>
      <c r="S258" s="191"/>
      <c r="T258" s="191"/>
      <c r="U258" s="191"/>
    </row>
    <row r="259" spans="1:21">
      <c r="A259" s="527"/>
      <c r="B259" s="513"/>
      <c r="C259" s="721" t="s">
        <v>254</v>
      </c>
      <c r="D259" s="529"/>
      <c r="E259" s="530"/>
      <c r="F259" s="531">
        <v>50</v>
      </c>
      <c r="G259" s="532"/>
      <c r="H259" s="533"/>
      <c r="I259" s="534">
        <v>280</v>
      </c>
      <c r="J259" s="535">
        <f>F259*I259</f>
        <v>14000</v>
      </c>
      <c r="K259" s="521"/>
      <c r="L259" s="103"/>
      <c r="M259" s="190"/>
      <c r="N259" s="190"/>
      <c r="O259" s="190"/>
      <c r="P259" s="191"/>
      <c r="Q259" s="191"/>
      <c r="R259" s="191"/>
      <c r="S259" s="191"/>
      <c r="T259" s="191"/>
      <c r="U259" s="191"/>
    </row>
    <row r="260" spans="1:21">
      <c r="A260" s="527"/>
      <c r="B260" s="513"/>
      <c r="C260" s="721"/>
      <c r="D260" s="529"/>
      <c r="E260" s="530"/>
      <c r="F260" s="531"/>
      <c r="G260" s="532"/>
      <c r="H260" s="533"/>
      <c r="I260" s="534"/>
      <c r="J260" s="535"/>
      <c r="K260" s="521"/>
      <c r="L260" s="103"/>
      <c r="M260" s="190"/>
      <c r="N260" s="190"/>
      <c r="O260" s="190"/>
      <c r="P260" s="191"/>
      <c r="Q260" s="191"/>
      <c r="R260" s="191"/>
      <c r="S260" s="191"/>
      <c r="T260" s="191"/>
      <c r="U260" s="191"/>
    </row>
    <row r="261" spans="1:21">
      <c r="A261" s="527"/>
      <c r="B261" s="513"/>
      <c r="C261" s="721" t="s">
        <v>255</v>
      </c>
      <c r="D261" s="529"/>
      <c r="E261" s="530"/>
      <c r="F261" s="531">
        <v>100</v>
      </c>
      <c r="G261" s="532"/>
      <c r="H261" s="533"/>
      <c r="I261" s="534">
        <v>50</v>
      </c>
      <c r="J261" s="535">
        <f>F261*I261</f>
        <v>5000</v>
      </c>
      <c r="K261" s="521"/>
      <c r="L261" s="103"/>
      <c r="M261" s="190"/>
      <c r="N261" s="190"/>
      <c r="O261" s="190"/>
      <c r="P261" s="191"/>
      <c r="Q261" s="191"/>
      <c r="R261" s="191"/>
      <c r="S261" s="191"/>
      <c r="T261" s="191"/>
      <c r="U261" s="191"/>
    </row>
    <row r="262" spans="1:21">
      <c r="A262" s="527"/>
      <c r="B262" s="513"/>
      <c r="C262" s="721"/>
      <c r="D262" s="529"/>
      <c r="E262" s="530"/>
      <c r="F262" s="531"/>
      <c r="G262" s="532"/>
      <c r="H262" s="533"/>
      <c r="I262" s="534"/>
      <c r="J262" s="535"/>
      <c r="K262" s="521"/>
      <c r="L262" s="103"/>
      <c r="M262" s="190"/>
      <c r="N262" s="190"/>
      <c r="O262" s="190"/>
      <c r="P262" s="191"/>
      <c r="Q262" s="191"/>
      <c r="R262" s="191"/>
      <c r="S262" s="191"/>
      <c r="T262" s="191"/>
      <c r="U262" s="191"/>
    </row>
    <row r="263" spans="1:21">
      <c r="A263" s="522" t="s">
        <v>256</v>
      </c>
      <c r="B263" s="513"/>
      <c r="C263" s="720" t="s">
        <v>257</v>
      </c>
      <c r="D263" s="529"/>
      <c r="E263" s="530"/>
      <c r="F263" s="531"/>
      <c r="G263" s="532" t="s">
        <v>108</v>
      </c>
      <c r="H263" s="533"/>
      <c r="I263" s="534">
        <v>50000</v>
      </c>
      <c r="J263" s="535">
        <f>I263</f>
        <v>50000</v>
      </c>
      <c r="K263" s="521" t="s">
        <v>258</v>
      </c>
      <c r="L263" s="103"/>
      <c r="M263" s="190"/>
      <c r="N263" s="190"/>
      <c r="O263" s="190"/>
      <c r="P263" s="191"/>
      <c r="Q263" s="191"/>
      <c r="R263" s="191"/>
      <c r="S263" s="191"/>
      <c r="T263" s="191"/>
      <c r="U263" s="191"/>
    </row>
    <row r="264" spans="1:21">
      <c r="A264" s="527"/>
      <c r="B264" s="513"/>
      <c r="C264" s="721" t="s">
        <v>259</v>
      </c>
      <c r="D264" s="529"/>
      <c r="E264" s="530"/>
      <c r="F264" s="531"/>
      <c r="G264" s="532"/>
      <c r="H264" s="533"/>
      <c r="I264" s="534"/>
      <c r="J264" s="535"/>
      <c r="K264" s="521"/>
      <c r="L264" s="103"/>
      <c r="M264" s="190"/>
      <c r="N264" s="190"/>
      <c r="O264" s="190"/>
      <c r="P264" s="191"/>
      <c r="Q264" s="191"/>
      <c r="R264" s="191"/>
      <c r="S264" s="191"/>
      <c r="T264" s="191"/>
      <c r="U264" s="191"/>
    </row>
    <row r="265" spans="1:21">
      <c r="A265" s="527"/>
      <c r="B265" s="513"/>
      <c r="C265" s="721"/>
      <c r="D265" s="529"/>
      <c r="E265" s="530"/>
      <c r="F265" s="531"/>
      <c r="G265" s="532"/>
      <c r="H265" s="533"/>
      <c r="I265" s="534"/>
      <c r="J265" s="535"/>
      <c r="K265" s="521"/>
      <c r="L265" s="103"/>
      <c r="M265" s="190"/>
      <c r="N265" s="190"/>
      <c r="O265" s="190"/>
      <c r="P265" s="191"/>
      <c r="Q265" s="191"/>
      <c r="R265" s="191"/>
      <c r="S265" s="191"/>
      <c r="T265" s="191"/>
      <c r="U265" s="191"/>
    </row>
    <row r="266" spans="1:21">
      <c r="A266" s="527"/>
      <c r="B266" s="513"/>
      <c r="C266" s="721" t="s">
        <v>260</v>
      </c>
      <c r="D266" s="529"/>
      <c r="E266" s="530"/>
      <c r="F266" s="531"/>
      <c r="G266" s="532" t="s">
        <v>108</v>
      </c>
      <c r="H266" s="533"/>
      <c r="I266" s="534"/>
      <c r="J266" s="535">
        <v>200000</v>
      </c>
      <c r="K266" s="521"/>
      <c r="L266" s="103"/>
      <c r="M266" s="190"/>
      <c r="N266" s="190"/>
      <c r="O266" s="190"/>
      <c r="P266" s="191"/>
      <c r="Q266" s="191"/>
      <c r="R266" s="191"/>
      <c r="S266" s="191"/>
      <c r="T266" s="191"/>
      <c r="U266" s="191"/>
    </row>
    <row r="267" spans="1:21">
      <c r="A267" s="527"/>
      <c r="B267" s="513"/>
      <c r="C267" s="721"/>
      <c r="D267" s="529"/>
      <c r="E267" s="530"/>
      <c r="F267" s="531"/>
      <c r="G267" s="532"/>
      <c r="H267" s="533"/>
      <c r="I267" s="534"/>
      <c r="J267" s="535"/>
      <c r="K267" s="521"/>
      <c r="L267" s="103"/>
      <c r="M267" s="190"/>
      <c r="N267" s="190"/>
      <c r="O267" s="190"/>
      <c r="P267" s="191"/>
      <c r="Q267" s="191"/>
      <c r="R267" s="191"/>
      <c r="S267" s="191"/>
      <c r="T267" s="191"/>
      <c r="U267" s="191"/>
    </row>
    <row r="268" spans="1:21" ht="13.9" thickBot="1">
      <c r="A268" s="558">
        <v>9</v>
      </c>
      <c r="B268" s="559"/>
      <c r="C268" s="560" t="s">
        <v>261</v>
      </c>
      <c r="D268" s="561"/>
      <c r="E268" s="562"/>
      <c r="F268" s="563"/>
      <c r="G268" s="564"/>
      <c r="H268" s="565"/>
      <c r="I268" s="566"/>
      <c r="J268" s="567"/>
      <c r="K268" s="568">
        <f>SUM(K12:K251)</f>
        <v>9726620.8862020653</v>
      </c>
      <c r="L268" s="103"/>
      <c r="M268" s="190"/>
      <c r="N268" s="190"/>
      <c r="O268" s="190"/>
      <c r="P268" s="191"/>
      <c r="Q268" s="191"/>
      <c r="R268" s="191"/>
      <c r="S268" s="191"/>
      <c r="T268" s="191"/>
      <c r="U268" s="191"/>
    </row>
    <row r="269" spans="1:21" ht="13.9" thickTop="1">
      <c r="A269" s="569"/>
      <c r="B269" s="559"/>
      <c r="C269" s="570"/>
      <c r="D269" s="561"/>
      <c r="E269" s="562"/>
      <c r="F269" s="563"/>
      <c r="G269" s="564"/>
      <c r="H269" s="565"/>
      <c r="I269" s="566"/>
      <c r="J269" s="567"/>
      <c r="K269" s="571"/>
      <c r="L269" s="103"/>
      <c r="M269" s="190"/>
      <c r="N269" s="190"/>
      <c r="O269" s="190"/>
      <c r="P269" s="191"/>
      <c r="Q269" s="191"/>
      <c r="R269" s="191"/>
      <c r="S269" s="191"/>
      <c r="T269" s="191"/>
      <c r="U269" s="191"/>
    </row>
    <row r="270" spans="1:21" ht="13.9">
      <c r="A270" s="569"/>
      <c r="B270" s="559"/>
      <c r="C270" s="572" t="s">
        <v>262</v>
      </c>
      <c r="D270" s="561"/>
      <c r="E270" s="562"/>
      <c r="F270" s="563" t="s">
        <v>108</v>
      </c>
      <c r="G270" s="564"/>
      <c r="H270" s="565"/>
      <c r="I270" s="566">
        <f>(23500/40000*3041)</f>
        <v>1786.5875000000001</v>
      </c>
      <c r="J270" s="567">
        <f>I270</f>
        <v>1786.5875000000001</v>
      </c>
      <c r="K270" s="571">
        <f>J270</f>
        <v>1786.5875000000001</v>
      </c>
      <c r="L270" s="103"/>
      <c r="M270" s="190"/>
      <c r="N270" s="190"/>
      <c r="O270" s="190"/>
      <c r="P270" s="191"/>
      <c r="Q270" s="191"/>
      <c r="R270" s="191"/>
      <c r="S270" s="191"/>
      <c r="T270" s="191"/>
      <c r="U270" s="191"/>
    </row>
    <row r="271" spans="1:21" ht="13.9">
      <c r="A271" s="569"/>
      <c r="B271" s="559"/>
      <c r="C271" s="605"/>
      <c r="D271" s="561"/>
      <c r="E271" s="562"/>
      <c r="F271" s="563"/>
      <c r="G271" s="564"/>
      <c r="H271" s="565"/>
      <c r="I271" s="566"/>
      <c r="J271" s="567"/>
      <c r="K271" s="571"/>
      <c r="L271" s="103"/>
      <c r="M271" s="190"/>
      <c r="N271" s="190"/>
      <c r="O271" s="190"/>
      <c r="P271" s="191"/>
      <c r="Q271" s="191"/>
      <c r="R271" s="191"/>
      <c r="S271" s="191"/>
      <c r="T271" s="191"/>
      <c r="U271" s="191"/>
    </row>
    <row r="272" spans="1:21">
      <c r="A272" s="569"/>
      <c r="B272" s="559"/>
      <c r="C272" s="573" t="s">
        <v>263</v>
      </c>
      <c r="D272" s="561"/>
      <c r="E272" s="562"/>
      <c r="F272" s="563"/>
      <c r="G272" s="564"/>
      <c r="H272" s="565"/>
      <c r="I272" s="566"/>
      <c r="J272" s="567"/>
      <c r="K272" s="574"/>
      <c r="L272" s="103"/>
      <c r="M272" s="190"/>
      <c r="N272" s="190"/>
      <c r="O272" s="190"/>
      <c r="P272" s="191"/>
      <c r="Q272" s="191"/>
      <c r="R272" s="191"/>
      <c r="S272" s="191"/>
      <c r="T272" s="191"/>
      <c r="U272" s="191"/>
    </row>
    <row r="273" spans="1:21">
      <c r="A273" s="569"/>
      <c r="B273" s="559"/>
      <c r="C273" s="575" t="s">
        <v>264</v>
      </c>
      <c r="D273" s="561"/>
      <c r="E273" s="562"/>
      <c r="F273" s="563">
        <v>12</v>
      </c>
      <c r="G273" s="564" t="s">
        <v>265</v>
      </c>
      <c r="H273" s="565"/>
      <c r="I273" s="566"/>
      <c r="J273" s="574">
        <f>K268*0.12</f>
        <v>1167194.5063442478</v>
      </c>
      <c r="K273" s="597"/>
      <c r="L273" s="103"/>
      <c r="M273" s="190"/>
      <c r="N273" s="190"/>
      <c r="O273" s="190"/>
      <c r="P273" s="191"/>
      <c r="Q273" s="191"/>
      <c r="R273" s="191"/>
      <c r="S273" s="191"/>
      <c r="T273" s="191"/>
      <c r="U273" s="191"/>
    </row>
    <row r="274" spans="1:21">
      <c r="A274" s="569"/>
      <c r="B274" s="559"/>
      <c r="C274" s="575"/>
      <c r="D274" s="561"/>
      <c r="E274" s="562"/>
      <c r="F274" s="563"/>
      <c r="G274" s="564"/>
      <c r="H274" s="565"/>
      <c r="I274" s="566"/>
      <c r="J274" s="567"/>
      <c r="K274" s="574"/>
      <c r="L274" s="103"/>
      <c r="M274" s="190"/>
      <c r="N274" s="190"/>
      <c r="O274" s="190"/>
      <c r="P274" s="191"/>
      <c r="Q274" s="191"/>
      <c r="R274" s="191"/>
      <c r="S274" s="191"/>
      <c r="T274" s="191"/>
      <c r="U274" s="191"/>
    </row>
    <row r="275" spans="1:21">
      <c r="A275" s="569"/>
      <c r="B275" s="559"/>
      <c r="C275" s="573" t="s">
        <v>266</v>
      </c>
      <c r="D275" s="561"/>
      <c r="E275" s="562"/>
      <c r="F275" s="563">
        <v>10</v>
      </c>
      <c r="G275" s="564" t="s">
        <v>265</v>
      </c>
      <c r="H275" s="565"/>
      <c r="I275" s="566"/>
      <c r="J275" s="574">
        <f>K268*0.1</f>
        <v>972662.08862020657</v>
      </c>
      <c r="K275" s="597"/>
      <c r="L275" s="103"/>
      <c r="M275" s="190"/>
      <c r="N275" s="190"/>
      <c r="O275" s="190"/>
      <c r="P275" s="191"/>
      <c r="Q275" s="191"/>
      <c r="R275" s="191"/>
      <c r="S275" s="191"/>
      <c r="T275" s="191"/>
      <c r="U275" s="191"/>
    </row>
    <row r="276" spans="1:21">
      <c r="A276" s="569"/>
      <c r="B276" s="559"/>
      <c r="C276" s="575" t="s">
        <v>267</v>
      </c>
      <c r="D276" s="561"/>
      <c r="E276" s="562"/>
      <c r="F276" s="563"/>
      <c r="G276" s="564"/>
      <c r="H276" s="565"/>
      <c r="I276" s="566"/>
      <c r="J276" s="567"/>
      <c r="K276" s="571"/>
      <c r="L276" s="103"/>
      <c r="M276" s="190"/>
      <c r="N276" s="190"/>
      <c r="O276" s="190"/>
      <c r="P276" s="191"/>
      <c r="Q276" s="191"/>
      <c r="R276" s="191"/>
      <c r="S276" s="191"/>
      <c r="T276" s="191"/>
      <c r="U276" s="191"/>
    </row>
    <row r="277" spans="1:21">
      <c r="A277" s="569"/>
      <c r="B277" s="559"/>
      <c r="C277" s="575"/>
      <c r="D277" s="561"/>
      <c r="E277" s="562"/>
      <c r="F277" s="563"/>
      <c r="G277" s="564"/>
      <c r="H277" s="565"/>
      <c r="I277" s="566"/>
      <c r="J277" s="567"/>
      <c r="K277" s="571"/>
      <c r="L277" s="103"/>
      <c r="M277" s="190"/>
      <c r="N277" s="190"/>
      <c r="O277" s="190"/>
      <c r="P277" s="191"/>
      <c r="Q277" s="191"/>
      <c r="R277" s="191"/>
      <c r="S277" s="191"/>
      <c r="T277" s="191"/>
      <c r="U277" s="191"/>
    </row>
    <row r="278" spans="1:21">
      <c r="A278" s="576"/>
      <c r="B278" s="559"/>
      <c r="C278" s="577" t="s">
        <v>268</v>
      </c>
      <c r="D278" s="561"/>
      <c r="E278" s="562"/>
      <c r="F278" s="563"/>
      <c r="G278" s="564"/>
      <c r="H278" s="565"/>
      <c r="I278" s="566"/>
      <c r="J278" s="567"/>
      <c r="K278" s="571"/>
      <c r="L278" s="103"/>
      <c r="M278" s="190"/>
      <c r="N278" s="190"/>
      <c r="O278" s="190"/>
      <c r="P278" s="191"/>
      <c r="Q278" s="191"/>
      <c r="R278" s="191"/>
      <c r="S278" s="191"/>
      <c r="T278" s="191"/>
      <c r="U278" s="191"/>
    </row>
    <row r="279" spans="1:21">
      <c r="A279" s="569"/>
      <c r="B279" s="559"/>
      <c r="C279" s="578" t="s">
        <v>269</v>
      </c>
      <c r="D279" s="579"/>
      <c r="E279" s="562"/>
      <c r="F279" s="563">
        <v>5</v>
      </c>
      <c r="G279" s="580" t="s">
        <v>265</v>
      </c>
      <c r="H279" s="565"/>
      <c r="I279" s="595"/>
      <c r="J279" s="574">
        <f>K268*0.005</f>
        <v>48633.104431010324</v>
      </c>
      <c r="K279" s="597"/>
      <c r="L279" s="103"/>
      <c r="M279" s="190"/>
      <c r="N279" s="190"/>
      <c r="O279" s="190"/>
      <c r="P279" s="191"/>
      <c r="Q279" s="191"/>
      <c r="R279" s="191"/>
      <c r="S279" s="191"/>
      <c r="T279" s="191"/>
      <c r="U279" s="191"/>
    </row>
    <row r="280" spans="1:21" ht="7.9" customHeight="1">
      <c r="A280" s="569"/>
      <c r="B280" s="559"/>
      <c r="C280" s="578"/>
      <c r="D280" s="579"/>
      <c r="E280" s="562"/>
      <c r="F280" s="563"/>
      <c r="G280" s="580"/>
      <c r="H280" s="565"/>
      <c r="I280" s="595"/>
      <c r="J280" s="567"/>
      <c r="K280" s="571"/>
      <c r="L280" s="103"/>
      <c r="M280" s="190"/>
      <c r="N280" s="190"/>
      <c r="O280" s="190"/>
      <c r="P280" s="191"/>
      <c r="Q280" s="191"/>
      <c r="R280" s="191"/>
      <c r="S280" s="191"/>
      <c r="T280" s="191"/>
      <c r="U280" s="191"/>
    </row>
    <row r="281" spans="1:21">
      <c r="A281" s="569"/>
      <c r="B281" s="559"/>
      <c r="C281" s="581"/>
      <c r="D281" s="579"/>
      <c r="E281" s="562"/>
      <c r="F281" s="563"/>
      <c r="G281" s="564"/>
      <c r="H281" s="565"/>
      <c r="I281" s="595"/>
      <c r="J281" s="567"/>
      <c r="K281" s="571"/>
      <c r="L281" s="103"/>
      <c r="M281" s="190"/>
      <c r="N281" s="190"/>
      <c r="O281" s="190"/>
      <c r="P281" s="191"/>
      <c r="Q281" s="191"/>
      <c r="R281" s="191"/>
      <c r="S281" s="191"/>
      <c r="T281" s="191"/>
      <c r="U281" s="191"/>
    </row>
    <row r="282" spans="1:21">
      <c r="A282" s="576"/>
      <c r="B282" s="559"/>
      <c r="C282" s="581" t="s">
        <v>270</v>
      </c>
      <c r="D282" s="579"/>
      <c r="E282" s="562"/>
      <c r="F282" s="563"/>
      <c r="G282" s="564"/>
      <c r="H282" s="565"/>
      <c r="I282" s="595"/>
      <c r="J282" s="567"/>
      <c r="K282" s="571"/>
      <c r="L282" s="103"/>
      <c r="M282" s="190"/>
      <c r="N282" s="190"/>
      <c r="O282" s="190"/>
      <c r="P282" s="191"/>
      <c r="Q282" s="191"/>
      <c r="R282" s="191"/>
      <c r="S282" s="191"/>
      <c r="T282" s="191"/>
      <c r="U282" s="191"/>
    </row>
    <row r="283" spans="1:21" ht="18.600000000000001" customHeight="1">
      <c r="A283" s="569"/>
      <c r="B283" s="559"/>
      <c r="C283" s="578" t="s">
        <v>271</v>
      </c>
      <c r="D283" s="579"/>
      <c r="E283" s="562"/>
      <c r="F283" s="563">
        <v>10</v>
      </c>
      <c r="G283" s="564" t="s">
        <v>265</v>
      </c>
      <c r="H283" s="565"/>
      <c r="I283" s="566"/>
      <c r="J283" s="598">
        <f>K268*0.1</f>
        <v>972662.08862020657</v>
      </c>
      <c r="K283" s="597"/>
      <c r="L283" s="127"/>
      <c r="M283" s="190"/>
      <c r="N283" s="190"/>
      <c r="O283" s="190"/>
      <c r="P283" s="191"/>
      <c r="Q283" s="191"/>
      <c r="R283" s="191"/>
      <c r="S283" s="191"/>
      <c r="T283" s="191"/>
      <c r="U283" s="191"/>
    </row>
    <row r="284" spans="1:21" ht="13.9" customHeight="1" thickBot="1">
      <c r="A284" s="569"/>
      <c r="B284" s="559"/>
      <c r="C284" s="582"/>
      <c r="D284" s="579"/>
      <c r="E284" s="562"/>
      <c r="F284" s="563"/>
      <c r="G284" s="564"/>
      <c r="H284" s="565"/>
      <c r="I284" s="583"/>
      <c r="J284" s="584"/>
      <c r="K284" s="585">
        <f>K270+J273+J275+J279+J283</f>
        <v>3162938.3755156714</v>
      </c>
      <c r="L284" s="103"/>
      <c r="M284" s="190"/>
      <c r="N284" s="190"/>
      <c r="O284" s="190"/>
      <c r="P284" s="191"/>
      <c r="Q284" s="191"/>
      <c r="R284" s="191"/>
      <c r="S284" s="191"/>
      <c r="T284" s="191"/>
      <c r="U284" s="191"/>
    </row>
    <row r="285" spans="1:21" ht="13.9" thickTop="1">
      <c r="A285" s="444"/>
      <c r="B285" s="442"/>
      <c r="C285" s="119"/>
      <c r="D285" s="202"/>
      <c r="E285" s="203"/>
      <c r="F285" s="148"/>
      <c r="G285" s="155"/>
      <c r="H285" s="121"/>
      <c r="I285" s="122"/>
      <c r="J285" s="123"/>
      <c r="K285" s="105"/>
      <c r="L285" s="103"/>
      <c r="M285" s="190"/>
      <c r="N285" s="190"/>
      <c r="O285" s="190"/>
      <c r="P285" s="191"/>
      <c r="Q285" s="191"/>
      <c r="R285" s="191"/>
      <c r="S285" s="191"/>
      <c r="T285" s="191"/>
      <c r="U285" s="191"/>
    </row>
    <row r="286" spans="1:21" ht="13.9" thickBot="1">
      <c r="A286" s="444"/>
      <c r="B286" s="442"/>
      <c r="C286" s="119"/>
      <c r="D286" s="202"/>
      <c r="E286" s="203"/>
      <c r="F286" s="159"/>
      <c r="G286" s="155"/>
      <c r="H286" s="121"/>
      <c r="I286" s="122"/>
      <c r="J286" s="557" t="s">
        <v>272</v>
      </c>
      <c r="K286" s="553">
        <f>K268+K284</f>
        <v>12889559.261717737</v>
      </c>
      <c r="L286" s="103"/>
      <c r="M286" s="190"/>
      <c r="N286" s="190"/>
      <c r="O286" s="190"/>
      <c r="P286" s="191"/>
      <c r="Q286" s="191"/>
      <c r="R286" s="191"/>
      <c r="S286" s="191"/>
      <c r="T286" s="191"/>
      <c r="U286" s="191"/>
    </row>
    <row r="287" spans="1:21" ht="13.9" thickTop="1">
      <c r="A287" s="444"/>
      <c r="B287" s="442"/>
      <c r="C287" s="119"/>
      <c r="D287" s="202"/>
      <c r="E287" s="203"/>
      <c r="F287" s="159"/>
      <c r="G287" s="155"/>
      <c r="H287" s="121"/>
      <c r="I287" s="122"/>
      <c r="J287" s="123"/>
      <c r="K287" s="105"/>
      <c r="L287" s="103"/>
      <c r="M287" s="190"/>
      <c r="N287" s="190"/>
      <c r="O287" s="190"/>
      <c r="P287" s="191"/>
      <c r="Q287" s="191"/>
      <c r="R287" s="191"/>
      <c r="S287" s="191"/>
      <c r="T287" s="191"/>
      <c r="U287" s="191"/>
    </row>
    <row r="288" spans="1:21">
      <c r="A288" s="444"/>
      <c r="B288" s="442"/>
      <c r="C288" s="120"/>
      <c r="D288" s="202"/>
      <c r="E288" s="203"/>
      <c r="F288" s="148"/>
      <c r="G288" s="155"/>
      <c r="H288" s="121"/>
      <c r="I288" s="122"/>
      <c r="J288" s="123"/>
      <c r="K288" s="105"/>
      <c r="L288" s="103"/>
      <c r="M288" s="190"/>
      <c r="N288" s="190"/>
      <c r="O288" s="190"/>
      <c r="P288" s="191"/>
      <c r="Q288" s="191"/>
      <c r="R288" s="191"/>
      <c r="S288" s="191"/>
      <c r="T288" s="191"/>
      <c r="U288" s="191"/>
    </row>
    <row r="289" spans="1:21">
      <c r="A289" s="444"/>
      <c r="B289" s="442"/>
      <c r="C289" s="119"/>
      <c r="D289" s="202"/>
      <c r="E289" s="203"/>
      <c r="F289" s="148"/>
      <c r="G289" s="155"/>
      <c r="H289" s="121"/>
      <c r="I289" s="122"/>
      <c r="J289" s="123"/>
      <c r="K289" s="105"/>
      <c r="L289" s="103"/>
      <c r="M289" s="190"/>
      <c r="N289" s="190"/>
      <c r="O289" s="190"/>
      <c r="P289" s="191"/>
      <c r="Q289" s="191"/>
      <c r="R289" s="191"/>
      <c r="S289" s="191"/>
      <c r="T289" s="191"/>
      <c r="U289" s="191"/>
    </row>
    <row r="290" spans="1:21">
      <c r="A290" s="444"/>
      <c r="B290" s="442"/>
      <c r="C290" s="119"/>
      <c r="D290" s="202"/>
      <c r="E290" s="203"/>
      <c r="F290" s="159"/>
      <c r="G290" s="155"/>
      <c r="H290" s="121"/>
      <c r="I290" s="122"/>
      <c r="J290" s="123"/>
      <c r="K290" s="105"/>
      <c r="L290" s="103"/>
      <c r="M290" s="190"/>
      <c r="N290" s="190"/>
      <c r="O290" s="190"/>
      <c r="P290" s="191"/>
      <c r="Q290" s="191"/>
      <c r="R290" s="191"/>
      <c r="S290" s="191"/>
      <c r="T290" s="191"/>
      <c r="U290" s="191"/>
    </row>
    <row r="291" spans="1:21">
      <c r="A291" s="444"/>
      <c r="B291" s="442"/>
      <c r="C291" s="119"/>
      <c r="D291" s="202"/>
      <c r="E291" s="203"/>
      <c r="F291" s="148"/>
      <c r="G291" s="155"/>
      <c r="H291" s="121"/>
      <c r="I291" s="122"/>
      <c r="J291" s="123"/>
      <c r="K291" s="105"/>
      <c r="L291" s="103"/>
      <c r="M291" s="190"/>
      <c r="N291" s="190"/>
      <c r="O291" s="190"/>
      <c r="P291" s="191"/>
      <c r="Q291" s="191"/>
      <c r="R291" s="191"/>
      <c r="S291" s="191"/>
      <c r="T291" s="191"/>
      <c r="U291" s="191"/>
    </row>
    <row r="292" spans="1:21">
      <c r="A292" s="444"/>
      <c r="B292" s="442"/>
      <c r="C292" s="119"/>
      <c r="D292" s="202"/>
      <c r="E292" s="203"/>
      <c r="F292" s="148"/>
      <c r="G292" s="155"/>
      <c r="H292" s="121"/>
      <c r="I292" s="122"/>
      <c r="J292" s="123"/>
      <c r="K292" s="105"/>
      <c r="L292" s="103"/>
      <c r="M292" s="190"/>
      <c r="N292" s="190"/>
      <c r="O292" s="190"/>
      <c r="P292" s="191"/>
      <c r="Q292" s="191"/>
      <c r="R292" s="191"/>
      <c r="S292" s="191"/>
      <c r="T292" s="191"/>
      <c r="U292" s="191"/>
    </row>
    <row r="293" spans="1:21">
      <c r="A293" s="444"/>
      <c r="B293" s="442"/>
      <c r="C293" s="119"/>
      <c r="D293" s="202"/>
      <c r="E293" s="203"/>
      <c r="F293" s="148"/>
      <c r="G293" s="155"/>
      <c r="H293" s="121"/>
      <c r="I293" s="122"/>
      <c r="J293" s="123"/>
      <c r="K293" s="105"/>
      <c r="L293" s="103"/>
      <c r="M293" s="190"/>
      <c r="N293" s="190"/>
      <c r="O293" s="190"/>
      <c r="P293" s="191"/>
      <c r="Q293" s="191"/>
      <c r="R293" s="191"/>
      <c r="S293" s="191"/>
      <c r="T293" s="191"/>
      <c r="U293" s="191"/>
    </row>
    <row r="294" spans="1:21">
      <c r="A294" s="444"/>
      <c r="B294" s="442"/>
      <c r="C294" s="119"/>
      <c r="D294" s="202"/>
      <c r="E294" s="203"/>
      <c r="F294" s="159"/>
      <c r="G294" s="155"/>
      <c r="H294" s="121"/>
      <c r="I294" s="122"/>
      <c r="J294" s="123"/>
      <c r="K294" s="105"/>
      <c r="L294" s="103"/>
      <c r="M294" s="190"/>
      <c r="N294" s="190"/>
      <c r="O294" s="190"/>
      <c r="P294" s="191"/>
      <c r="Q294" s="191"/>
      <c r="R294" s="191"/>
      <c r="S294" s="191"/>
      <c r="T294" s="191"/>
      <c r="U294" s="191"/>
    </row>
    <row r="295" spans="1:21">
      <c r="A295" s="444"/>
      <c r="B295" s="442"/>
      <c r="C295" s="119"/>
      <c r="D295" s="206"/>
      <c r="E295" s="206"/>
      <c r="F295" s="159"/>
      <c r="G295" s="207"/>
      <c r="H295" s="208"/>
      <c r="I295" s="122"/>
      <c r="J295" s="123"/>
      <c r="K295" s="105"/>
      <c r="L295" s="103"/>
      <c r="M295" s="190"/>
      <c r="N295" s="190"/>
      <c r="O295" s="190"/>
      <c r="P295" s="191"/>
      <c r="Q295" s="191"/>
      <c r="R295" s="191"/>
      <c r="S295" s="191"/>
      <c r="T295" s="191"/>
      <c r="U295" s="191"/>
    </row>
    <row r="296" spans="1:21">
      <c r="A296" s="512"/>
      <c r="B296" s="442"/>
      <c r="C296" s="205"/>
      <c r="D296" s="206"/>
      <c r="E296" s="206"/>
      <c r="F296" s="159"/>
      <c r="G296" s="209"/>
      <c r="H296" s="210"/>
      <c r="I296" s="122"/>
      <c r="J296" s="123"/>
      <c r="K296" s="105"/>
      <c r="L296" s="103"/>
      <c r="M296" s="190"/>
      <c r="N296" s="190"/>
      <c r="O296" s="190"/>
      <c r="P296" s="191"/>
      <c r="Q296" s="191"/>
      <c r="R296" s="191"/>
      <c r="S296" s="191"/>
      <c r="T296" s="191"/>
      <c r="U296" s="191"/>
    </row>
    <row r="297" spans="1:21">
      <c r="A297" s="444"/>
      <c r="B297" s="442"/>
      <c r="C297" s="205"/>
      <c r="D297" s="206"/>
      <c r="E297" s="206"/>
      <c r="F297" s="148"/>
      <c r="G297" s="207"/>
      <c r="H297" s="208"/>
      <c r="I297" s="122"/>
      <c r="J297" s="123"/>
      <c r="K297" s="105"/>
      <c r="L297" s="103"/>
      <c r="M297" s="190"/>
      <c r="N297" s="190"/>
      <c r="O297" s="190"/>
      <c r="P297" s="191"/>
      <c r="Q297" s="191"/>
      <c r="R297" s="191"/>
      <c r="S297" s="191"/>
      <c r="T297" s="191"/>
      <c r="U297" s="191"/>
    </row>
    <row r="298" spans="1:21">
      <c r="A298" s="444"/>
      <c r="B298" s="442"/>
      <c r="C298" s="205"/>
      <c r="D298" s="199"/>
      <c r="E298" s="199"/>
      <c r="F298" s="211"/>
      <c r="G298" s="207"/>
      <c r="H298" s="208"/>
      <c r="I298" s="122"/>
      <c r="J298" s="123"/>
      <c r="K298" s="105"/>
      <c r="L298" s="103"/>
      <c r="M298" s="190"/>
      <c r="N298" s="190"/>
      <c r="O298" s="190"/>
      <c r="P298" s="191"/>
      <c r="Q298" s="191"/>
      <c r="R298" s="191"/>
      <c r="S298" s="191"/>
      <c r="T298" s="191"/>
      <c r="U298" s="191"/>
    </row>
    <row r="299" spans="1:21">
      <c r="A299" s="444"/>
      <c r="B299" s="442"/>
      <c r="C299" s="205"/>
      <c r="D299" s="199"/>
      <c r="E299" s="199"/>
      <c r="F299" s="212"/>
      <c r="G299" s="213"/>
      <c r="H299" s="214"/>
      <c r="I299" s="122"/>
      <c r="J299" s="123"/>
      <c r="K299" s="105"/>
      <c r="L299" s="103"/>
      <c r="M299" s="190"/>
      <c r="N299" s="190"/>
      <c r="O299" s="190"/>
      <c r="P299" s="191"/>
      <c r="Q299" s="191"/>
      <c r="R299" s="191"/>
      <c r="S299" s="191"/>
      <c r="T299" s="191"/>
      <c r="U299" s="191"/>
    </row>
    <row r="300" spans="1:21">
      <c r="A300" s="444"/>
      <c r="B300" s="442"/>
      <c r="C300" s="215"/>
      <c r="D300" s="206"/>
      <c r="E300" s="206"/>
      <c r="F300" s="148"/>
      <c r="G300" s="207"/>
      <c r="H300" s="208"/>
      <c r="I300" s="122"/>
      <c r="J300" s="123"/>
      <c r="K300" s="105"/>
      <c r="L300" s="103"/>
      <c r="M300" s="190"/>
      <c r="N300" s="190"/>
      <c r="O300" s="190"/>
      <c r="P300" s="191"/>
      <c r="Q300" s="191"/>
      <c r="R300" s="191"/>
      <c r="S300" s="191"/>
      <c r="T300" s="191"/>
      <c r="U300" s="191"/>
    </row>
    <row r="301" spans="1:21">
      <c r="A301" s="443"/>
      <c r="B301" s="442"/>
      <c r="C301" s="201"/>
      <c r="D301" s="199"/>
      <c r="E301" s="199"/>
      <c r="F301" s="212"/>
      <c r="G301" s="207"/>
      <c r="H301" s="208"/>
      <c r="I301" s="124"/>
      <c r="J301" s="216"/>
      <c r="K301" s="125"/>
      <c r="L301" s="126"/>
      <c r="M301" s="190"/>
      <c r="N301" s="190"/>
      <c r="O301" s="190"/>
      <c r="P301" s="191"/>
      <c r="Q301" s="191"/>
      <c r="R301" s="191"/>
      <c r="S301" s="191"/>
      <c r="T301" s="191"/>
      <c r="U301" s="191"/>
    </row>
    <row r="302" spans="1:21">
      <c r="A302" s="444"/>
      <c r="B302" s="442"/>
      <c r="C302" s="215"/>
      <c r="D302" s="199"/>
      <c r="E302" s="199"/>
      <c r="F302" s="212"/>
      <c r="G302" s="213"/>
      <c r="H302" s="214"/>
      <c r="I302" s="122"/>
      <c r="J302" s="123"/>
      <c r="K302" s="125"/>
      <c r="L302" s="126"/>
      <c r="M302" s="190"/>
      <c r="N302" s="190"/>
      <c r="O302" s="190"/>
      <c r="P302" s="191"/>
      <c r="Q302" s="191"/>
      <c r="R302" s="191"/>
      <c r="S302" s="191"/>
      <c r="T302" s="191"/>
      <c r="U302" s="191"/>
    </row>
    <row r="303" spans="1:21">
      <c r="A303" s="444"/>
      <c r="B303" s="442"/>
      <c r="C303" s="217"/>
      <c r="D303" s="199"/>
      <c r="E303" s="199"/>
      <c r="F303" s="212"/>
      <c r="G303" s="213"/>
      <c r="H303" s="214"/>
      <c r="I303" s="122"/>
      <c r="J303" s="123"/>
      <c r="K303" s="125"/>
      <c r="L303" s="126"/>
      <c r="M303" s="190"/>
      <c r="N303" s="190"/>
      <c r="O303" s="190"/>
      <c r="P303" s="191"/>
      <c r="Q303" s="191"/>
      <c r="R303" s="191"/>
      <c r="S303" s="191"/>
      <c r="T303" s="191"/>
      <c r="U303" s="191"/>
    </row>
    <row r="304" spans="1:21">
      <c r="A304" s="444"/>
      <c r="B304" s="442"/>
      <c r="C304" s="218"/>
      <c r="D304" s="199"/>
      <c r="E304" s="199"/>
      <c r="F304" s="212"/>
      <c r="G304" s="213"/>
      <c r="H304" s="214"/>
      <c r="I304" s="122"/>
      <c r="J304" s="123"/>
      <c r="K304" s="125"/>
      <c r="L304" s="126"/>
      <c r="M304" s="190"/>
      <c r="N304" s="190"/>
      <c r="O304" s="190"/>
      <c r="P304" s="191"/>
      <c r="Q304" s="191"/>
      <c r="R304" s="191"/>
      <c r="S304" s="191"/>
      <c r="T304" s="191"/>
      <c r="U304" s="191"/>
    </row>
    <row r="305" spans="1:21">
      <c r="A305" s="444"/>
      <c r="B305" s="442"/>
      <c r="C305" s="218"/>
      <c r="D305" s="199"/>
      <c r="E305" s="199"/>
      <c r="F305" s="148"/>
      <c r="G305" s="213"/>
      <c r="H305" s="214"/>
      <c r="I305" s="122"/>
      <c r="J305" s="123"/>
      <c r="K305" s="125"/>
      <c r="L305" s="126"/>
      <c r="M305" s="190"/>
      <c r="N305" s="190"/>
      <c r="O305" s="190"/>
      <c r="P305" s="191"/>
      <c r="Q305" s="191"/>
      <c r="R305" s="191"/>
      <c r="S305" s="191"/>
      <c r="T305" s="191"/>
      <c r="U305" s="191"/>
    </row>
    <row r="306" spans="1:21">
      <c r="A306" s="444"/>
      <c r="B306" s="442"/>
      <c r="C306" s="218"/>
      <c r="D306" s="199"/>
      <c r="E306" s="199"/>
      <c r="F306" s="212"/>
      <c r="G306" s="213"/>
      <c r="H306" s="214"/>
      <c r="I306" s="122"/>
      <c r="J306" s="123"/>
      <c r="K306" s="125"/>
      <c r="L306" s="126"/>
      <c r="M306" s="190"/>
      <c r="N306" s="190"/>
      <c r="O306" s="190"/>
      <c r="P306" s="191"/>
      <c r="Q306" s="191"/>
      <c r="R306" s="191"/>
      <c r="S306" s="191"/>
      <c r="T306" s="191"/>
      <c r="U306" s="191"/>
    </row>
    <row r="307" spans="1:21">
      <c r="A307" s="444"/>
      <c r="B307" s="442"/>
      <c r="C307" s="218"/>
      <c r="D307" s="199"/>
      <c r="E307" s="199"/>
      <c r="F307" s="148"/>
      <c r="G307" s="213"/>
      <c r="H307" s="214"/>
      <c r="I307" s="122"/>
      <c r="J307" s="123"/>
      <c r="K307" s="125"/>
      <c r="L307" s="126"/>
      <c r="M307" s="190"/>
      <c r="N307" s="190"/>
      <c r="O307" s="190"/>
      <c r="P307" s="191"/>
      <c r="Q307" s="191"/>
      <c r="R307" s="191"/>
      <c r="S307" s="191"/>
      <c r="T307" s="191"/>
      <c r="U307" s="191"/>
    </row>
    <row r="308" spans="1:21">
      <c r="A308" s="444"/>
      <c r="B308" s="442"/>
      <c r="C308" s="219"/>
      <c r="D308" s="220"/>
      <c r="E308" s="196"/>
      <c r="F308" s="221"/>
      <c r="G308" s="222"/>
      <c r="H308" s="223"/>
      <c r="I308" s="104"/>
      <c r="J308" s="216"/>
      <c r="K308" s="125"/>
      <c r="L308" s="126"/>
      <c r="M308" s="190"/>
      <c r="N308" s="190"/>
      <c r="O308" s="190"/>
      <c r="P308" s="191"/>
      <c r="Q308" s="191"/>
      <c r="R308" s="191"/>
      <c r="S308" s="191"/>
      <c r="T308" s="191"/>
      <c r="U308" s="191"/>
    </row>
    <row r="309" spans="1:21">
      <c r="A309" s="444"/>
      <c r="B309" s="442"/>
      <c r="C309" s="219"/>
      <c r="D309" s="220"/>
      <c r="E309" s="196"/>
      <c r="F309" s="221"/>
      <c r="G309" s="200"/>
      <c r="H309" s="198"/>
      <c r="I309" s="104"/>
      <c r="J309" s="216"/>
      <c r="K309" s="125"/>
      <c r="L309" s="126"/>
      <c r="M309" s="190"/>
      <c r="N309" s="190"/>
      <c r="O309" s="190"/>
      <c r="P309" s="191"/>
      <c r="Q309" s="191"/>
      <c r="R309" s="191"/>
      <c r="S309" s="191"/>
      <c r="T309" s="191"/>
      <c r="U309" s="191"/>
    </row>
    <row r="310" spans="1:21">
      <c r="A310" s="444"/>
      <c r="B310" s="442"/>
      <c r="C310" s="224"/>
      <c r="D310" s="220"/>
      <c r="E310" s="196"/>
      <c r="F310" s="221"/>
      <c r="G310" s="222"/>
      <c r="H310" s="223"/>
      <c r="I310" s="104"/>
      <c r="J310" s="216"/>
      <c r="K310" s="125"/>
      <c r="L310" s="126"/>
      <c r="M310" s="190"/>
      <c r="N310" s="190"/>
      <c r="O310" s="190"/>
      <c r="P310" s="191"/>
      <c r="Q310" s="191"/>
      <c r="R310" s="191"/>
      <c r="S310" s="191"/>
      <c r="T310" s="191"/>
      <c r="U310" s="191"/>
    </row>
    <row r="311" spans="1:21">
      <c r="A311" s="444"/>
      <c r="B311" s="442"/>
      <c r="C311" s="225"/>
      <c r="D311" s="220"/>
      <c r="E311" s="196"/>
      <c r="F311" s="158"/>
      <c r="G311" s="222"/>
      <c r="H311" s="223"/>
      <c r="I311" s="104"/>
      <c r="J311" s="216"/>
      <c r="K311" s="125"/>
      <c r="L311" s="126"/>
      <c r="M311" s="190"/>
      <c r="N311" s="190"/>
      <c r="O311" s="190"/>
      <c r="P311" s="191"/>
      <c r="Q311" s="191"/>
      <c r="R311" s="191"/>
      <c r="S311" s="191"/>
      <c r="T311" s="191"/>
      <c r="U311" s="191"/>
    </row>
    <row r="312" spans="1:21">
      <c r="A312" s="444"/>
      <c r="B312" s="442"/>
      <c r="C312" s="215"/>
      <c r="D312" s="226"/>
      <c r="E312" s="196"/>
      <c r="F312" s="221"/>
      <c r="G312" s="222"/>
      <c r="H312" s="223"/>
      <c r="I312" s="104"/>
      <c r="J312" s="216"/>
      <c r="K312" s="125"/>
      <c r="L312" s="126"/>
      <c r="M312" s="190"/>
      <c r="N312" s="190"/>
      <c r="O312" s="190"/>
      <c r="P312" s="191"/>
      <c r="Q312" s="191"/>
      <c r="R312" s="191"/>
      <c r="S312" s="191"/>
      <c r="T312" s="191"/>
      <c r="U312" s="191"/>
    </row>
    <row r="313" spans="1:21">
      <c r="A313" s="444"/>
      <c r="B313" s="442"/>
      <c r="C313" s="218"/>
      <c r="D313" s="199"/>
      <c r="E313" s="199"/>
      <c r="F313" s="212"/>
      <c r="G313" s="207"/>
      <c r="H313" s="208"/>
      <c r="I313" s="122"/>
      <c r="J313" s="123"/>
      <c r="K313" s="125"/>
      <c r="L313" s="126"/>
      <c r="M313" s="190"/>
      <c r="N313" s="190"/>
      <c r="O313" s="190"/>
      <c r="P313" s="191"/>
      <c r="Q313" s="191"/>
      <c r="R313" s="191"/>
      <c r="S313" s="191"/>
      <c r="T313" s="191"/>
      <c r="U313" s="191"/>
    </row>
    <row r="314" spans="1:21">
      <c r="A314" s="444"/>
      <c r="B314" s="442"/>
      <c r="C314" s="218"/>
      <c r="D314" s="199"/>
      <c r="E314" s="199"/>
      <c r="F314" s="212"/>
      <c r="G314" s="213"/>
      <c r="H314" s="214"/>
      <c r="I314" s="122"/>
      <c r="J314" s="123"/>
      <c r="K314" s="125"/>
      <c r="L314" s="126"/>
      <c r="M314" s="190"/>
      <c r="N314" s="190"/>
      <c r="O314" s="190"/>
      <c r="P314" s="191"/>
      <c r="Q314" s="191"/>
      <c r="R314" s="191"/>
      <c r="S314" s="191"/>
      <c r="T314" s="191"/>
      <c r="U314" s="191"/>
    </row>
    <row r="315" spans="1:21">
      <c r="A315" s="444"/>
      <c r="B315" s="442"/>
      <c r="C315" s="218"/>
      <c r="D315" s="199"/>
      <c r="E315" s="199"/>
      <c r="F315" s="212"/>
      <c r="G315" s="213"/>
      <c r="H315" s="214"/>
      <c r="I315" s="122"/>
      <c r="J315" s="123"/>
      <c r="K315" s="125"/>
      <c r="L315" s="126"/>
      <c r="M315" s="190"/>
      <c r="N315" s="190"/>
      <c r="O315" s="190"/>
      <c r="P315" s="191"/>
      <c r="Q315" s="191"/>
      <c r="R315" s="191"/>
      <c r="S315" s="191"/>
      <c r="T315" s="191"/>
      <c r="U315" s="191"/>
    </row>
    <row r="316" spans="1:21">
      <c r="A316" s="444"/>
      <c r="B316" s="442"/>
      <c r="C316" s="218"/>
      <c r="D316" s="199"/>
      <c r="E316" s="199"/>
      <c r="F316" s="212"/>
      <c r="G316" s="213"/>
      <c r="H316" s="214"/>
      <c r="I316" s="122"/>
      <c r="J316" s="123"/>
      <c r="K316" s="125"/>
      <c r="L316" s="126"/>
      <c r="M316" s="190"/>
      <c r="N316" s="190"/>
      <c r="O316" s="190"/>
      <c r="P316" s="191"/>
      <c r="Q316" s="191"/>
      <c r="R316" s="191"/>
      <c r="S316" s="191"/>
      <c r="T316" s="191"/>
      <c r="U316" s="191"/>
    </row>
    <row r="317" spans="1:21">
      <c r="A317" s="444"/>
      <c r="B317" s="442"/>
      <c r="C317" s="218"/>
      <c r="D317" s="199"/>
      <c r="E317" s="199"/>
      <c r="F317" s="212"/>
      <c r="G317" s="213"/>
      <c r="H317" s="214"/>
      <c r="I317" s="122"/>
      <c r="J317" s="123"/>
      <c r="K317" s="125"/>
      <c r="L317" s="126"/>
      <c r="M317" s="190"/>
      <c r="N317" s="190"/>
      <c r="O317" s="190"/>
      <c r="P317" s="191"/>
      <c r="Q317" s="191"/>
      <c r="R317" s="191"/>
      <c r="S317" s="191"/>
      <c r="T317" s="191"/>
      <c r="U317" s="191"/>
    </row>
    <row r="318" spans="1:21">
      <c r="A318" s="444"/>
      <c r="B318" s="442"/>
      <c r="C318" s="215"/>
      <c r="D318" s="227"/>
      <c r="E318" s="227"/>
      <c r="F318" s="148"/>
      <c r="G318" s="207"/>
      <c r="H318" s="208"/>
      <c r="I318" s="122"/>
      <c r="J318" s="123"/>
      <c r="K318" s="125"/>
      <c r="L318" s="126"/>
      <c r="M318" s="190"/>
      <c r="N318" s="190"/>
      <c r="O318" s="190"/>
      <c r="P318" s="191"/>
      <c r="Q318" s="191"/>
      <c r="R318" s="191"/>
      <c r="S318" s="191"/>
      <c r="T318" s="191"/>
      <c r="U318" s="191"/>
    </row>
    <row r="319" spans="1:21">
      <c r="A319" s="512"/>
      <c r="B319" s="442"/>
      <c r="C319" s="205"/>
      <c r="D319" s="227"/>
      <c r="E319" s="227"/>
      <c r="F319" s="148"/>
      <c r="G319" s="207"/>
      <c r="H319" s="208"/>
      <c r="I319" s="122"/>
      <c r="J319" s="123"/>
      <c r="K319" s="123"/>
      <c r="L319" s="126"/>
      <c r="M319" s="190"/>
      <c r="N319" s="190"/>
      <c r="O319" s="190"/>
      <c r="P319" s="228"/>
      <c r="Q319" s="228"/>
      <c r="R319" s="228"/>
      <c r="S319" s="228"/>
      <c r="T319" s="228"/>
      <c r="U319" s="228"/>
    </row>
    <row r="320" spans="1:21" ht="12.6" customHeight="1">
      <c r="A320" s="443"/>
      <c r="B320" s="442"/>
      <c r="C320" s="201"/>
      <c r="D320" s="227"/>
      <c r="E320" s="227"/>
      <c r="F320" s="148"/>
      <c r="G320" s="207"/>
      <c r="H320" s="208"/>
      <c r="I320" s="122"/>
      <c r="J320" s="123"/>
      <c r="K320" s="123"/>
      <c r="L320" s="126"/>
      <c r="M320" s="190"/>
      <c r="N320" s="190"/>
      <c r="O320" s="190"/>
      <c r="P320" s="228"/>
      <c r="Q320" s="228"/>
      <c r="R320" s="228"/>
      <c r="S320" s="228"/>
      <c r="T320" s="228"/>
      <c r="U320" s="228"/>
    </row>
    <row r="321" spans="1:21" ht="12.6" customHeight="1">
      <c r="A321" s="443"/>
      <c r="B321" s="442"/>
      <c r="C321" s="201"/>
      <c r="D321" s="229"/>
      <c r="E321" s="229"/>
      <c r="F321" s="160"/>
      <c r="G321" s="207"/>
      <c r="H321" s="208"/>
      <c r="I321" s="122"/>
      <c r="J321" s="123"/>
      <c r="K321" s="123"/>
      <c r="L321" s="126"/>
      <c r="M321" s="190"/>
      <c r="N321" s="190"/>
      <c r="O321" s="190"/>
      <c r="P321" s="228"/>
      <c r="Q321" s="228"/>
      <c r="R321" s="228"/>
      <c r="S321" s="228"/>
      <c r="T321" s="228"/>
      <c r="U321" s="228"/>
    </row>
    <row r="322" spans="1:21" ht="12.6" customHeight="1">
      <c r="A322" s="443"/>
      <c r="B322" s="442"/>
      <c r="C322" s="201"/>
      <c r="D322" s="229"/>
      <c r="E322" s="229"/>
      <c r="F322" s="160"/>
      <c r="G322" s="213"/>
      <c r="H322" s="214"/>
      <c r="I322" s="122"/>
      <c r="J322" s="123"/>
      <c r="K322" s="123"/>
      <c r="L322" s="126"/>
      <c r="M322" s="190"/>
      <c r="N322" s="190"/>
      <c r="O322" s="190"/>
      <c r="P322" s="228"/>
      <c r="Q322" s="228"/>
      <c r="R322" s="228"/>
      <c r="S322" s="228"/>
      <c r="T322" s="228"/>
      <c r="U322" s="228"/>
    </row>
    <row r="323" spans="1:21" ht="12.6" customHeight="1">
      <c r="A323" s="443"/>
      <c r="B323" s="442"/>
      <c r="C323" s="201"/>
      <c r="D323" s="229"/>
      <c r="E323" s="229"/>
      <c r="F323" s="160"/>
      <c r="G323" s="213"/>
      <c r="H323" s="214"/>
      <c r="I323" s="122"/>
      <c r="J323" s="123"/>
      <c r="K323" s="123"/>
      <c r="L323" s="126"/>
      <c r="M323" s="190"/>
      <c r="N323" s="190"/>
      <c r="O323" s="190"/>
      <c r="P323" s="228"/>
      <c r="Q323" s="228"/>
      <c r="R323" s="228"/>
      <c r="S323" s="228"/>
      <c r="T323" s="228"/>
      <c r="U323" s="228"/>
    </row>
    <row r="324" spans="1:21" ht="12.6" customHeight="1">
      <c r="A324" s="443"/>
      <c r="B324" s="442"/>
      <c r="C324" s="201"/>
      <c r="D324" s="229"/>
      <c r="E324" s="229"/>
      <c r="F324" s="160"/>
      <c r="G324" s="213"/>
      <c r="H324" s="214"/>
      <c r="I324" s="122"/>
      <c r="J324" s="123"/>
      <c r="K324" s="123"/>
      <c r="L324" s="126"/>
      <c r="M324" s="190"/>
      <c r="N324" s="190"/>
      <c r="O324" s="190"/>
      <c r="P324" s="228"/>
      <c r="Q324" s="228"/>
      <c r="R324" s="228"/>
      <c r="S324" s="228"/>
      <c r="T324" s="228"/>
      <c r="U324" s="228"/>
    </row>
    <row r="325" spans="1:21" ht="12.6" customHeight="1">
      <c r="A325" s="443"/>
      <c r="B325" s="442"/>
      <c r="C325" s="205"/>
      <c r="D325" s="199"/>
      <c r="E325" s="199"/>
      <c r="F325" s="212"/>
      <c r="G325" s="213"/>
      <c r="H325" s="214"/>
      <c r="I325" s="122"/>
      <c r="J325" s="123"/>
      <c r="K325" s="123"/>
      <c r="L325" s="126"/>
      <c r="M325" s="190"/>
      <c r="N325" s="190"/>
      <c r="O325" s="190"/>
      <c r="P325" s="228"/>
      <c r="Q325" s="228"/>
      <c r="R325" s="228"/>
      <c r="S325" s="228"/>
      <c r="T325" s="228"/>
      <c r="U325" s="228"/>
    </row>
    <row r="326" spans="1:21" ht="12.6" customHeight="1">
      <c r="A326" s="443"/>
      <c r="B326" s="442"/>
      <c r="C326" s="205"/>
      <c r="D326" s="199"/>
      <c r="E326" s="199"/>
      <c r="F326" s="212"/>
      <c r="G326" s="213"/>
      <c r="H326" s="214"/>
      <c r="I326" s="122"/>
      <c r="J326" s="123"/>
      <c r="K326" s="123"/>
      <c r="L326" s="126"/>
      <c r="M326" s="190"/>
      <c r="N326" s="190"/>
      <c r="O326" s="190"/>
      <c r="P326" s="228"/>
      <c r="Q326" s="228"/>
      <c r="R326" s="228"/>
      <c r="S326" s="228"/>
      <c r="T326" s="228"/>
      <c r="U326" s="228"/>
    </row>
    <row r="327" spans="1:21" ht="12.6" customHeight="1">
      <c r="A327" s="443"/>
      <c r="B327" s="442"/>
      <c r="C327" s="205"/>
      <c r="D327" s="199"/>
      <c r="E327" s="199"/>
      <c r="F327" s="212"/>
      <c r="G327" s="213"/>
      <c r="H327" s="214"/>
      <c r="I327" s="122"/>
      <c r="J327" s="123"/>
      <c r="K327" s="123"/>
      <c r="L327" s="126"/>
      <c r="M327" s="190"/>
      <c r="N327" s="190"/>
      <c r="O327" s="190"/>
      <c r="P327" s="228"/>
      <c r="Q327" s="228"/>
      <c r="R327" s="228"/>
      <c r="S327" s="228"/>
      <c r="T327" s="228"/>
      <c r="U327" s="228"/>
    </row>
    <row r="328" spans="1:21" ht="12.6" customHeight="1">
      <c r="A328" s="443"/>
      <c r="B328" s="442"/>
      <c r="C328" s="205"/>
      <c r="D328" s="199"/>
      <c r="E328" s="199"/>
      <c r="F328" s="212"/>
      <c r="G328" s="213"/>
      <c r="H328" s="214"/>
      <c r="I328" s="122"/>
      <c r="J328" s="123"/>
      <c r="K328" s="123"/>
      <c r="L328" s="126"/>
      <c r="M328" s="190"/>
      <c r="N328" s="190"/>
      <c r="O328" s="190"/>
      <c r="P328" s="228"/>
      <c r="Q328" s="228"/>
      <c r="R328" s="228"/>
      <c r="S328" s="228"/>
      <c r="T328" s="228"/>
      <c r="U328" s="228"/>
    </row>
    <row r="329" spans="1:21" ht="12.6" customHeight="1">
      <c r="A329" s="443"/>
      <c r="B329" s="442"/>
      <c r="C329" s="201"/>
      <c r="D329" s="199"/>
      <c r="E329" s="199"/>
      <c r="F329" s="212"/>
      <c r="G329" s="213"/>
      <c r="H329" s="214"/>
      <c r="I329" s="122"/>
      <c r="J329" s="123"/>
      <c r="K329" s="123"/>
      <c r="L329" s="126"/>
      <c r="M329" s="190"/>
      <c r="N329" s="190"/>
      <c r="O329" s="190"/>
      <c r="P329" s="228"/>
      <c r="Q329" s="228"/>
      <c r="R329" s="228"/>
      <c r="S329" s="228"/>
      <c r="T329" s="228"/>
      <c r="U329" s="228"/>
    </row>
    <row r="330" spans="1:21">
      <c r="A330" s="512"/>
      <c r="B330" s="442"/>
      <c r="C330" s="201"/>
      <c r="D330" s="227"/>
      <c r="E330" s="227"/>
      <c r="F330" s="148"/>
      <c r="G330" s="209"/>
      <c r="H330" s="208"/>
      <c r="I330" s="122"/>
      <c r="J330" s="123"/>
      <c r="K330" s="125"/>
      <c r="L330" s="126"/>
      <c r="M330" s="190"/>
      <c r="N330" s="190"/>
      <c r="O330" s="190"/>
      <c r="P330" s="191"/>
      <c r="Q330" s="191"/>
      <c r="R330" s="191"/>
      <c r="S330" s="191"/>
      <c r="T330" s="191"/>
      <c r="U330" s="191"/>
    </row>
    <row r="331" spans="1:21">
      <c r="A331" s="512"/>
      <c r="B331" s="442"/>
      <c r="C331" s="205"/>
      <c r="D331" s="227"/>
      <c r="E331" s="227"/>
      <c r="F331" s="148"/>
      <c r="G331" s="207"/>
      <c r="H331" s="208"/>
      <c r="I331" s="122"/>
      <c r="J331" s="123"/>
      <c r="K331" s="125"/>
      <c r="L331" s="126"/>
      <c r="M331" s="190"/>
      <c r="N331" s="190"/>
      <c r="O331" s="190"/>
      <c r="P331" s="191"/>
      <c r="Q331" s="191"/>
      <c r="R331" s="191"/>
      <c r="S331" s="191"/>
      <c r="T331" s="191"/>
      <c r="U331" s="191"/>
    </row>
    <row r="332" spans="1:21">
      <c r="A332" s="512"/>
      <c r="B332" s="442"/>
      <c r="C332" s="201"/>
      <c r="D332" s="227"/>
      <c r="E332" s="227"/>
      <c r="F332" s="161"/>
      <c r="G332" s="207"/>
      <c r="H332" s="208"/>
      <c r="I332" s="122"/>
      <c r="J332" s="123"/>
      <c r="K332" s="125"/>
      <c r="L332" s="126"/>
      <c r="M332" s="190"/>
      <c r="N332" s="190"/>
      <c r="O332" s="190"/>
      <c r="P332" s="191"/>
      <c r="Q332" s="191"/>
      <c r="R332" s="191"/>
      <c r="S332" s="191"/>
      <c r="T332" s="191"/>
      <c r="U332" s="191"/>
    </row>
    <row r="333" spans="1:21">
      <c r="A333" s="512"/>
      <c r="B333" s="442"/>
      <c r="C333" s="205"/>
      <c r="D333" s="227"/>
      <c r="E333" s="227"/>
      <c r="F333" s="148"/>
      <c r="G333" s="207"/>
      <c r="H333" s="208"/>
      <c r="I333" s="122"/>
      <c r="J333" s="123"/>
      <c r="K333" s="125"/>
      <c r="L333" s="126"/>
      <c r="M333" s="190"/>
      <c r="N333" s="190"/>
      <c r="O333" s="190"/>
      <c r="P333" s="191"/>
      <c r="Q333" s="191"/>
      <c r="R333" s="191"/>
      <c r="S333" s="191"/>
      <c r="T333" s="191"/>
      <c r="U333" s="191"/>
    </row>
    <row r="334" spans="1:21">
      <c r="A334" s="512"/>
      <c r="B334" s="442"/>
      <c r="C334" s="230"/>
      <c r="D334" s="227"/>
      <c r="E334" s="227"/>
      <c r="F334" s="148"/>
      <c r="G334" s="207"/>
      <c r="H334" s="208"/>
      <c r="I334" s="122"/>
      <c r="J334" s="123"/>
      <c r="K334" s="125"/>
      <c r="L334" s="126"/>
      <c r="M334" s="190"/>
      <c r="N334" s="190"/>
      <c r="O334" s="190"/>
      <c r="P334" s="191"/>
      <c r="Q334" s="191"/>
      <c r="R334" s="191"/>
      <c r="S334" s="191"/>
      <c r="T334" s="191"/>
      <c r="U334" s="191"/>
    </row>
    <row r="335" spans="1:21">
      <c r="A335" s="512"/>
      <c r="B335" s="442"/>
      <c r="C335" s="230"/>
      <c r="D335" s="227"/>
      <c r="E335" s="227"/>
      <c r="F335" s="148"/>
      <c r="G335" s="207"/>
      <c r="H335" s="208"/>
      <c r="I335" s="122"/>
      <c r="J335" s="123"/>
      <c r="K335" s="125"/>
      <c r="L335" s="126"/>
      <c r="M335" s="190"/>
      <c r="N335" s="190"/>
      <c r="O335" s="190"/>
      <c r="P335" s="191"/>
      <c r="Q335" s="191"/>
      <c r="R335" s="191"/>
      <c r="S335" s="191"/>
      <c r="T335" s="191"/>
      <c r="U335" s="191"/>
    </row>
    <row r="336" spans="1:21">
      <c r="A336" s="512"/>
      <c r="B336" s="442"/>
      <c r="C336" s="230"/>
      <c r="D336" s="231"/>
      <c r="E336" s="227"/>
      <c r="F336" s="148"/>
      <c r="G336" s="207"/>
      <c r="H336" s="208"/>
      <c r="I336" s="122"/>
      <c r="J336" s="123"/>
      <c r="K336" s="125"/>
      <c r="L336" s="126"/>
      <c r="M336" s="190"/>
      <c r="N336" s="190"/>
      <c r="O336" s="190"/>
      <c r="P336" s="191"/>
      <c r="Q336" s="191"/>
      <c r="R336" s="191"/>
      <c r="S336" s="191"/>
      <c r="T336" s="191"/>
      <c r="U336" s="191"/>
    </row>
    <row r="337" spans="1:21">
      <c r="A337" s="512"/>
      <c r="B337" s="442"/>
      <c r="C337" s="230"/>
      <c r="D337" s="231"/>
      <c r="E337" s="227"/>
      <c r="F337" s="148"/>
      <c r="G337" s="207"/>
      <c r="H337" s="208"/>
      <c r="I337" s="122"/>
      <c r="J337" s="123"/>
      <c r="K337" s="125"/>
      <c r="L337" s="126"/>
      <c r="M337" s="190"/>
      <c r="N337" s="190"/>
      <c r="O337" s="190"/>
      <c r="P337" s="191"/>
      <c r="Q337" s="191"/>
      <c r="R337" s="191"/>
      <c r="S337" s="191"/>
      <c r="T337" s="191"/>
      <c r="U337" s="191"/>
    </row>
    <row r="338" spans="1:21">
      <c r="A338" s="512"/>
      <c r="B338" s="442"/>
      <c r="C338" s="230"/>
      <c r="D338" s="231"/>
      <c r="E338" s="227"/>
      <c r="F338" s="148"/>
      <c r="G338" s="207"/>
      <c r="H338" s="208"/>
      <c r="I338" s="122"/>
      <c r="J338" s="123"/>
      <c r="K338" s="125"/>
      <c r="L338" s="126"/>
      <c r="M338" s="190"/>
      <c r="N338" s="190"/>
      <c r="O338" s="190"/>
      <c r="P338" s="191"/>
      <c r="Q338" s="191"/>
      <c r="R338" s="191"/>
      <c r="S338" s="191"/>
      <c r="T338" s="191"/>
      <c r="U338" s="191"/>
    </row>
    <row r="339" spans="1:21">
      <c r="A339" s="512"/>
      <c r="B339" s="442"/>
      <c r="C339" s="230"/>
      <c r="D339" s="231"/>
      <c r="E339" s="227"/>
      <c r="F339" s="148"/>
      <c r="G339" s="209"/>
      <c r="H339" s="208"/>
      <c r="I339" s="122"/>
      <c r="J339" s="123"/>
      <c r="K339" s="125"/>
      <c r="L339" s="126"/>
      <c r="M339" s="190"/>
      <c r="N339" s="190"/>
      <c r="O339" s="190"/>
      <c r="P339" s="191"/>
      <c r="Q339" s="191"/>
      <c r="R339" s="191"/>
      <c r="S339" s="191"/>
      <c r="T339" s="191"/>
      <c r="U339" s="191"/>
    </row>
    <row r="340" spans="1:21">
      <c r="A340" s="443"/>
      <c r="B340" s="442"/>
      <c r="C340" s="232"/>
      <c r="D340" s="204"/>
      <c r="E340" s="227"/>
      <c r="F340" s="148"/>
      <c r="G340" s="207"/>
      <c r="H340" s="208"/>
      <c r="I340" s="122"/>
      <c r="J340" s="123"/>
      <c r="K340" s="125"/>
      <c r="L340" s="126"/>
      <c r="M340" s="190"/>
      <c r="N340" s="190"/>
      <c r="O340" s="190"/>
      <c r="P340" s="191"/>
      <c r="Q340" s="191"/>
      <c r="R340" s="191"/>
      <c r="S340" s="191"/>
      <c r="T340" s="191"/>
      <c r="U340" s="191"/>
    </row>
    <row r="341" spans="1:21">
      <c r="A341" s="443"/>
      <c r="B341" s="442"/>
      <c r="C341" s="230"/>
      <c r="D341" s="231"/>
      <c r="E341" s="227"/>
      <c r="F341" s="148"/>
      <c r="G341" s="207"/>
      <c r="H341" s="208"/>
      <c r="I341" s="122"/>
      <c r="J341" s="123"/>
      <c r="K341" s="125"/>
      <c r="L341" s="126"/>
      <c r="M341" s="190"/>
      <c r="N341" s="190"/>
      <c r="O341" s="190"/>
      <c r="P341" s="191"/>
      <c r="Q341" s="191"/>
      <c r="R341" s="191"/>
      <c r="S341" s="191"/>
      <c r="T341" s="191"/>
      <c r="U341" s="191"/>
    </row>
    <row r="342" spans="1:21">
      <c r="A342" s="443"/>
      <c r="B342" s="442"/>
      <c r="C342" s="230"/>
      <c r="D342" s="231"/>
      <c r="E342" s="227"/>
      <c r="F342" s="148"/>
      <c r="G342" s="207"/>
      <c r="H342" s="208"/>
      <c r="I342" s="122"/>
      <c r="J342" s="123"/>
      <c r="K342" s="125"/>
      <c r="L342" s="126"/>
      <c r="M342" s="190"/>
      <c r="N342" s="190"/>
      <c r="O342" s="190"/>
      <c r="P342" s="191"/>
      <c r="Q342" s="191"/>
      <c r="R342" s="191"/>
      <c r="S342" s="191"/>
      <c r="T342" s="191"/>
      <c r="U342" s="191"/>
    </row>
    <row r="343" spans="1:21">
      <c r="A343" s="443"/>
      <c r="B343" s="442"/>
      <c r="C343" s="230"/>
      <c r="D343" s="231"/>
      <c r="E343" s="227"/>
      <c r="F343" s="148"/>
      <c r="G343" s="207"/>
      <c r="H343" s="208"/>
      <c r="I343" s="122"/>
      <c r="J343" s="123"/>
      <c r="K343" s="125"/>
      <c r="L343" s="126"/>
      <c r="M343" s="190"/>
      <c r="N343" s="190"/>
      <c r="O343" s="190"/>
      <c r="P343" s="191"/>
      <c r="Q343" s="191"/>
      <c r="R343" s="191"/>
      <c r="S343" s="191"/>
      <c r="T343" s="191"/>
      <c r="U343" s="191"/>
    </row>
    <row r="344" spans="1:21">
      <c r="A344" s="443"/>
      <c r="B344" s="442"/>
      <c r="C344" s="230"/>
      <c r="D344" s="231"/>
      <c r="E344" s="227"/>
      <c r="F344" s="148"/>
      <c r="G344" s="207"/>
      <c r="H344" s="208"/>
      <c r="I344" s="122"/>
      <c r="J344" s="123"/>
      <c r="K344" s="125"/>
      <c r="L344" s="126"/>
      <c r="M344" s="190"/>
      <c r="N344" s="190"/>
      <c r="O344" s="190"/>
      <c r="P344" s="191"/>
      <c r="Q344" s="191"/>
      <c r="R344" s="191"/>
      <c r="S344" s="191"/>
      <c r="T344" s="191"/>
      <c r="U344" s="191"/>
    </row>
  </sheetData>
  <mergeCells count="3">
    <mergeCell ref="A10:B10"/>
    <mergeCell ref="E10:F10"/>
    <mergeCell ref="D4:K4"/>
  </mergeCells>
  <phoneticPr fontId="43" type="noConversion"/>
  <conditionalFormatting sqref="A2:K3">
    <cfRule type="cellIs" dxfId="0" priority="1" stopIfTrue="1" operator="equal">
      <formula>#N/A</formula>
    </cfRule>
  </conditionalFormatting>
  <pageMargins left="0.74803149606299213" right="0" top="0.19685039370078741" bottom="0.98425196850393704" header="0.51181102362204722" footer="0.51181102362204722"/>
  <pageSetup paperSize="9" scale="49" firstPageNumber="3" fitToHeight="0" orientation="portrait" useFirstPageNumber="1" r:id="rId1"/>
  <headerFooter alignWithMargins="0">
    <oddFooter>&amp;L&amp;"Arial,Regular"&amp;8&amp;P                    &amp;F&amp;R&amp;G</oddFooter>
  </headerFooter>
  <colBreaks count="1" manualBreakCount="1">
    <brk id="2" max="19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9217" r:id="rId5" name="Check Box 1">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18" r:id="rId6" name="Check Box 2">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19" r:id="rId7" name="Check Box 3">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20" r:id="rId8" name="Check Box 4">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21" r:id="rId9" name="Check Box 5">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22" r:id="rId10" name="Check Box 6">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23" r:id="rId11" name="Check Box 7">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24" r:id="rId12" name="Check Box 8">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25" r:id="rId13" name="Check Box 9">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26" r:id="rId14" name="Check Box 10">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27" r:id="rId15" name="Check Box 11">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28" r:id="rId16" name="Check Box 12">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29" r:id="rId17" name="Check Box 13">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30" r:id="rId18" name="Check Box 14">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31" r:id="rId19" name="Check Box 15">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32" r:id="rId20" name="Check Box 16">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33" r:id="rId21" name="Check Box 17">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34" r:id="rId22" name="Check Box 18">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35" r:id="rId23" name="Check Box 19">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36" r:id="rId24" name="Check Box 20">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37" r:id="rId25" name="Check Box 21">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38" r:id="rId26" name="Check Box 22">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mc:AlternateContent xmlns:mc="http://schemas.openxmlformats.org/markup-compatibility/2006">
          <mc:Choice Requires="x14">
            <control shapeId="9239" r:id="rId27" name="Check Box 23">
              <controlPr defaultSize="0" autoFill="0" autoLine="0" autoPict="0">
                <anchor moveWithCells="1">
                  <from>
                    <xdr:col>25</xdr:col>
                    <xdr:colOff>381000</xdr:colOff>
                    <xdr:row>344</xdr:row>
                    <xdr:rowOff>0</xdr:rowOff>
                  </from>
                  <to>
                    <xdr:col>26</xdr:col>
                    <xdr:colOff>38100</xdr:colOff>
                    <xdr:row>408</xdr:row>
                    <xdr:rowOff>99060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A8350-1908-4C5C-9C95-CF2255C10867}">
  <dimension ref="C3:N34"/>
  <sheetViews>
    <sheetView topLeftCell="A7" zoomScale="72" workbookViewId="0">
      <selection activeCell="Q10" sqref="Q10"/>
    </sheetView>
  </sheetViews>
  <sheetFormatPr defaultRowHeight="14.45"/>
  <cols>
    <col min="3" max="3" width="43.28515625" customWidth="1"/>
    <col min="4" max="4" width="16.28515625" style="610" customWidth="1"/>
    <col min="5" max="8" width="20.7109375" customWidth="1"/>
    <col min="9" max="9" width="1.7109375" customWidth="1"/>
    <col min="10" max="12" width="20.7109375" customWidth="1"/>
    <col min="13" max="13" width="20.7109375" hidden="1" customWidth="1"/>
    <col min="14" max="14" width="19.85546875" customWidth="1"/>
    <col min="15" max="15" width="8.85546875" customWidth="1"/>
  </cols>
  <sheetData>
    <row r="3" spans="3:14" ht="22.9" customHeight="1">
      <c r="C3" s="687" t="s">
        <v>273</v>
      </c>
    </row>
    <row r="4" spans="3:14">
      <c r="C4" s="683" t="s">
        <v>274</v>
      </c>
      <c r="D4" s="684"/>
    </row>
    <row r="5" spans="3:14" ht="15" thickBot="1">
      <c r="C5" s="685" t="s">
        <v>275</v>
      </c>
      <c r="D5" s="686"/>
    </row>
    <row r="6" spans="3:14" ht="19.899999999999999" customHeight="1" thickBot="1">
      <c r="E6" s="611" t="s">
        <v>276</v>
      </c>
      <c r="F6" s="612" t="s">
        <v>277</v>
      </c>
      <c r="G6" s="612" t="s">
        <v>278</v>
      </c>
      <c r="H6" s="612" t="s">
        <v>279</v>
      </c>
      <c r="I6" s="612"/>
      <c r="J6" s="612" t="s">
        <v>280</v>
      </c>
      <c r="K6" s="612" t="s">
        <v>281</v>
      </c>
      <c r="L6" s="612" t="s">
        <v>282</v>
      </c>
      <c r="M6" s="606" t="s">
        <v>279</v>
      </c>
    </row>
    <row r="7" spans="3:14" ht="16.149999999999999" customHeight="1" thickBot="1">
      <c r="C7" s="642" t="s">
        <v>283</v>
      </c>
      <c r="D7" s="643" t="s">
        <v>284</v>
      </c>
      <c r="E7" s="644" t="s">
        <v>285</v>
      </c>
      <c r="F7" s="645" t="s">
        <v>286</v>
      </c>
      <c r="G7" s="645" t="s">
        <v>287</v>
      </c>
      <c r="H7" s="645" t="s">
        <v>288</v>
      </c>
      <c r="I7" s="646"/>
      <c r="J7" s="647" t="s">
        <v>285</v>
      </c>
      <c r="K7" s="645" t="s">
        <v>286</v>
      </c>
      <c r="L7" s="645" t="s">
        <v>287</v>
      </c>
      <c r="M7" s="648" t="s">
        <v>288</v>
      </c>
      <c r="N7" s="649" t="s">
        <v>44</v>
      </c>
    </row>
    <row r="8" spans="3:14" ht="22.15" customHeight="1">
      <c r="C8" s="615" t="str">
        <f>'Summary Original'!D12</f>
        <v xml:space="preserve">FACILITATING WORKS </v>
      </c>
      <c r="D8" s="620">
        <f>'Summary Original'!E12</f>
        <v>1861500</v>
      </c>
      <c r="E8" s="623">
        <f>D8/4</f>
        <v>465375</v>
      </c>
      <c r="F8" s="624">
        <f>D8/4</f>
        <v>465375</v>
      </c>
      <c r="G8" s="624">
        <f>D8/4</f>
        <v>465375</v>
      </c>
      <c r="H8" s="625">
        <f>G8/4</f>
        <v>116343.75</v>
      </c>
      <c r="I8" s="626"/>
      <c r="J8" s="623">
        <f>H8/2</f>
        <v>58171.875</v>
      </c>
      <c r="K8" s="624">
        <f>J8/2</f>
        <v>29085.9375</v>
      </c>
      <c r="L8" s="627">
        <v>261773.44</v>
      </c>
      <c r="M8" s="607"/>
      <c r="N8" s="635">
        <f>E8+F8+G8+H8+J8+K8+L8</f>
        <v>1861500.0024999999</v>
      </c>
    </row>
    <row r="9" spans="3:14" ht="22.15" customHeight="1">
      <c r="C9" s="616" t="str">
        <f>'Summary Original'!D13</f>
        <v>SUBSTRUCTURE</v>
      </c>
      <c r="D9" s="621">
        <f>'Summary Original'!E13</f>
        <v>964885.69351808366</v>
      </c>
      <c r="E9" s="628">
        <f>D9/3</f>
        <v>321628.56450602791</v>
      </c>
      <c r="F9" s="629">
        <f>D9-E9</f>
        <v>643257.1290120557</v>
      </c>
      <c r="G9" s="629">
        <v>0</v>
      </c>
      <c r="H9" s="630">
        <v>0</v>
      </c>
      <c r="I9" s="631"/>
      <c r="J9" s="632">
        <v>0</v>
      </c>
      <c r="K9" s="633">
        <v>0</v>
      </c>
      <c r="L9" s="633">
        <v>0</v>
      </c>
      <c r="M9" s="608"/>
      <c r="N9" s="636">
        <f>E9+F9+G9+H9+J9+K9+L9</f>
        <v>964885.69351808354</v>
      </c>
    </row>
    <row r="10" spans="3:14" ht="22.15" customHeight="1">
      <c r="C10" s="616" t="str">
        <f>'Summary Original'!D14</f>
        <v>SUPERSTRUCTURE</v>
      </c>
      <c r="D10" s="621">
        <f>'Summary Original'!E14</f>
        <v>2699457</v>
      </c>
      <c r="E10" s="628">
        <v>0</v>
      </c>
      <c r="F10" s="629">
        <v>0</v>
      </c>
      <c r="G10" s="629">
        <f>D10/4</f>
        <v>674864.25</v>
      </c>
      <c r="H10" s="630">
        <f>D10/2</f>
        <v>1349728.5</v>
      </c>
      <c r="I10" s="631"/>
      <c r="J10" s="632">
        <f>D10-G10-H10</f>
        <v>674864.25</v>
      </c>
      <c r="K10" s="633">
        <v>0</v>
      </c>
      <c r="L10" s="633">
        <v>0</v>
      </c>
      <c r="M10" s="608"/>
      <c r="N10" s="636">
        <f>E10+F10+G10+H10+J10+K10+L10</f>
        <v>2699457</v>
      </c>
    </row>
    <row r="11" spans="3:14" ht="22.15" customHeight="1">
      <c r="C11" s="616" t="str">
        <f>'Summary Original'!D15</f>
        <v xml:space="preserve">INTENAL FINISHES </v>
      </c>
      <c r="D11" s="621">
        <f>'Summary Original'!E15</f>
        <v>528711.96</v>
      </c>
      <c r="E11" s="628">
        <v>0</v>
      </c>
      <c r="F11" s="629">
        <v>0</v>
      </c>
      <c r="G11" s="629">
        <v>0</v>
      </c>
      <c r="H11" s="630">
        <f>D11/8</f>
        <v>66088.994999999995</v>
      </c>
      <c r="I11" s="631"/>
      <c r="J11" s="632">
        <f>D11/6</f>
        <v>88118.659999999989</v>
      </c>
      <c r="K11" s="633">
        <f>D11/4</f>
        <v>132177.99</v>
      </c>
      <c r="L11" s="633">
        <f>D11-H11-J11-K11</f>
        <v>242326.315</v>
      </c>
      <c r="M11" s="608"/>
      <c r="N11" s="636">
        <f t="shared" ref="N11:N19" si="0">E11+F11+G11+H11+J11+K11+L11</f>
        <v>528711.96</v>
      </c>
    </row>
    <row r="12" spans="3:14" ht="22.15" customHeight="1">
      <c r="C12" s="616" t="str">
        <f>'Summary Original'!D16</f>
        <v>FITTINGS AND FURNISHINGS</v>
      </c>
      <c r="D12" s="621">
        <f>'Summary Original'!E16</f>
        <v>980000</v>
      </c>
      <c r="E12" s="628">
        <f>0</f>
        <v>0</v>
      </c>
      <c r="F12" s="629">
        <v>0</v>
      </c>
      <c r="G12" s="629">
        <v>0</v>
      </c>
      <c r="H12" s="630">
        <f>D12/8</f>
        <v>122500</v>
      </c>
      <c r="I12" s="631"/>
      <c r="J12" s="632">
        <f>D12/6</f>
        <v>163333.33333333334</v>
      </c>
      <c r="K12" s="633">
        <f>D12/2</f>
        <v>490000</v>
      </c>
      <c r="L12" s="633">
        <f>D12-H12-J12-K12</f>
        <v>204166.66666666663</v>
      </c>
      <c r="M12" s="608"/>
      <c r="N12" s="636">
        <f t="shared" si="0"/>
        <v>980000</v>
      </c>
    </row>
    <row r="13" spans="3:14" ht="22.15" customHeight="1">
      <c r="C13" s="616" t="str">
        <f>'Summary Original'!D17</f>
        <v>SERVICES</v>
      </c>
      <c r="D13" s="621">
        <f>'Summary Original'!E17</f>
        <v>2273241.9469696973</v>
      </c>
      <c r="E13" s="628">
        <f>D13/8</f>
        <v>284155.24337121216</v>
      </c>
      <c r="F13" s="629">
        <f>D13/6</f>
        <v>378873.65782828286</v>
      </c>
      <c r="G13" s="629">
        <v>0</v>
      </c>
      <c r="H13" s="630">
        <v>0</v>
      </c>
      <c r="I13" s="631"/>
      <c r="J13" s="632">
        <f>D13/4</f>
        <v>568310.48674242431</v>
      </c>
      <c r="K13" s="633">
        <f>D13-E13-F13-J13</f>
        <v>1041902.559027778</v>
      </c>
      <c r="L13" s="633"/>
      <c r="M13" s="608"/>
      <c r="N13" s="636">
        <f t="shared" si="0"/>
        <v>2273241.9469696973</v>
      </c>
    </row>
    <row r="14" spans="3:14" ht="22.15" customHeight="1">
      <c r="C14" s="616" t="str">
        <f>'Summary Original'!D18</f>
        <v>EXTERNAL WORKS</v>
      </c>
      <c r="D14" s="621">
        <f>'Summary Original'!E18</f>
        <v>418824.28571428568</v>
      </c>
      <c r="E14" s="628"/>
      <c r="F14" s="629">
        <v>0</v>
      </c>
      <c r="G14" s="629">
        <v>0</v>
      </c>
      <c r="H14" s="630">
        <v>0</v>
      </c>
      <c r="I14" s="631"/>
      <c r="J14" s="632">
        <f>D14/2</f>
        <v>209412.14285714284</v>
      </c>
      <c r="K14" s="633">
        <f>D14/6</f>
        <v>69804.047619047618</v>
      </c>
      <c r="L14" s="633">
        <f>D14-J14-K14</f>
        <v>139608.09523809521</v>
      </c>
      <c r="M14" s="608"/>
      <c r="N14" s="636">
        <f t="shared" si="0"/>
        <v>418824.28571428568</v>
      </c>
    </row>
    <row r="15" spans="3:14" ht="22.15" customHeight="1">
      <c r="C15" s="617" t="str">
        <f>'Summary Original'!D19</f>
        <v>MAIN CONTRACTORS PRELIMINARIES</v>
      </c>
      <c r="D15" s="622">
        <f>'Summary Original'!E19</f>
        <v>3162938.3755156714</v>
      </c>
      <c r="E15" s="628">
        <f>D15/7</f>
        <v>451848.33935938164</v>
      </c>
      <c r="F15" s="629">
        <f>E15</f>
        <v>451848.33935938164</v>
      </c>
      <c r="G15" s="629">
        <f>F15</f>
        <v>451848.33935938164</v>
      </c>
      <c r="H15" s="630">
        <f>G15</f>
        <v>451848.33935938164</v>
      </c>
      <c r="I15" s="628">
        <f t="shared" ref="I15" si="1">H15/7</f>
        <v>64549.76276562595</v>
      </c>
      <c r="J15" s="628">
        <f>H15</f>
        <v>451848.33935938164</v>
      </c>
      <c r="K15" s="629">
        <f>J15</f>
        <v>451848.33935938164</v>
      </c>
      <c r="L15" s="629">
        <f>K15</f>
        <v>451848.33935938164</v>
      </c>
      <c r="M15" s="614">
        <f>L15</f>
        <v>451848.33935938164</v>
      </c>
      <c r="N15" s="636">
        <f t="shared" si="0"/>
        <v>3162938.3755156714</v>
      </c>
    </row>
    <row r="16" spans="3:14" ht="22.15" customHeight="1">
      <c r="C16" s="617" t="s">
        <v>289</v>
      </c>
      <c r="D16" s="620">
        <f>'Summary Original'!E37</f>
        <v>355640</v>
      </c>
      <c r="E16" s="628">
        <f t="shared" ref="E16:E19" si="2">D16/7</f>
        <v>50805.714285714283</v>
      </c>
      <c r="F16" s="629">
        <f t="shared" ref="F16:H19" si="3">E16</f>
        <v>50805.714285714283</v>
      </c>
      <c r="G16" s="629">
        <f t="shared" si="3"/>
        <v>50805.714285714283</v>
      </c>
      <c r="H16" s="630">
        <f t="shared" si="3"/>
        <v>50805.714285714283</v>
      </c>
      <c r="I16" s="631"/>
      <c r="J16" s="628">
        <f t="shared" ref="J16:J19" si="4">H16</f>
        <v>50805.714285714283</v>
      </c>
      <c r="K16" s="629">
        <f t="shared" ref="K16:L19" si="5">J16</f>
        <v>50805.714285714283</v>
      </c>
      <c r="L16" s="629">
        <f t="shared" si="5"/>
        <v>50805.714285714283</v>
      </c>
      <c r="M16" s="608"/>
      <c r="N16" s="636">
        <f>E16+F16+G16+H16+J16+K16+L16</f>
        <v>355639.99999999994</v>
      </c>
    </row>
    <row r="17" spans="3:14" ht="22.15" customHeight="1">
      <c r="C17" s="617" t="s">
        <v>290</v>
      </c>
      <c r="D17" s="621">
        <f>'Summary Original'!E55</f>
        <v>2265761.7670507981</v>
      </c>
      <c r="E17" s="628">
        <f t="shared" si="2"/>
        <v>323680.25243582827</v>
      </c>
      <c r="F17" s="629">
        <f t="shared" si="3"/>
        <v>323680.25243582827</v>
      </c>
      <c r="G17" s="629">
        <f t="shared" si="3"/>
        <v>323680.25243582827</v>
      </c>
      <c r="H17" s="630">
        <f t="shared" si="3"/>
        <v>323680.25243582827</v>
      </c>
      <c r="I17" s="631"/>
      <c r="J17" s="628">
        <f t="shared" si="4"/>
        <v>323680.25243582827</v>
      </c>
      <c r="K17" s="629">
        <f t="shared" si="5"/>
        <v>323680.25243582827</v>
      </c>
      <c r="L17" s="629">
        <f t="shared" si="5"/>
        <v>323680.25243582827</v>
      </c>
      <c r="M17" s="608"/>
      <c r="N17" s="636">
        <f t="shared" si="0"/>
        <v>2265761.7670507981</v>
      </c>
    </row>
    <row r="18" spans="3:14" ht="22.15" customHeight="1">
      <c r="C18" s="618" t="str">
        <f>'Summary Original'!B40</f>
        <v>0HP</v>
      </c>
      <c r="D18" s="621">
        <f>'Summary Original'!E40</f>
        <v>1167194.5063442478</v>
      </c>
      <c r="E18" s="628">
        <f t="shared" si="2"/>
        <v>166742.07233489255</v>
      </c>
      <c r="F18" s="629">
        <f t="shared" si="3"/>
        <v>166742.07233489255</v>
      </c>
      <c r="G18" s="629">
        <f t="shared" si="3"/>
        <v>166742.07233489255</v>
      </c>
      <c r="H18" s="630">
        <f t="shared" si="3"/>
        <v>166742.07233489255</v>
      </c>
      <c r="I18" s="631"/>
      <c r="J18" s="628">
        <f t="shared" si="4"/>
        <v>166742.07233489255</v>
      </c>
      <c r="K18" s="629">
        <f t="shared" si="5"/>
        <v>166742.07233489255</v>
      </c>
      <c r="L18" s="629">
        <f t="shared" si="5"/>
        <v>166742.07233489255</v>
      </c>
      <c r="M18" s="608"/>
      <c r="N18" s="636">
        <f t="shared" si="0"/>
        <v>1167194.5063442478</v>
      </c>
    </row>
    <row r="19" spans="3:14" ht="22.15" customHeight="1" thickBot="1">
      <c r="C19" s="619" t="s">
        <v>291</v>
      </c>
      <c r="D19" s="622">
        <f>'Summary Original'!E41</f>
        <v>972662.08862020657</v>
      </c>
      <c r="E19" s="638">
        <f t="shared" si="2"/>
        <v>138951.72694574381</v>
      </c>
      <c r="F19" s="639">
        <f t="shared" si="3"/>
        <v>138951.72694574381</v>
      </c>
      <c r="G19" s="639">
        <f t="shared" si="3"/>
        <v>138951.72694574381</v>
      </c>
      <c r="H19" s="640">
        <f t="shared" si="3"/>
        <v>138951.72694574381</v>
      </c>
      <c r="I19" s="634"/>
      <c r="J19" s="638">
        <f t="shared" si="4"/>
        <v>138951.72694574381</v>
      </c>
      <c r="K19" s="639">
        <f t="shared" si="5"/>
        <v>138951.72694574381</v>
      </c>
      <c r="L19" s="639">
        <f t="shared" si="5"/>
        <v>138951.72694574381</v>
      </c>
      <c r="M19" s="609"/>
      <c r="N19" s="637">
        <f t="shared" si="0"/>
        <v>972662.08862020657</v>
      </c>
    </row>
    <row r="20" spans="3:14" ht="22.15" customHeight="1" thickBot="1">
      <c r="D20" s="641">
        <f>SUM(D8:D19)</f>
        <v>17650817.623732992</v>
      </c>
      <c r="E20" s="641">
        <f t="shared" ref="E20:N20" si="6">SUM(E8:E19)</f>
        <v>2203186.9132388006</v>
      </c>
      <c r="F20" s="641">
        <f t="shared" si="6"/>
        <v>2619533.8922018991</v>
      </c>
      <c r="G20" s="641">
        <f t="shared" si="6"/>
        <v>2272267.3553615608</v>
      </c>
      <c r="H20" s="641">
        <f t="shared" si="6"/>
        <v>2786689.3503615605</v>
      </c>
      <c r="I20" s="641">
        <f t="shared" si="6"/>
        <v>64549.76276562595</v>
      </c>
      <c r="J20" s="641">
        <f t="shared" si="6"/>
        <v>2894238.853294461</v>
      </c>
      <c r="K20" s="641">
        <f t="shared" si="6"/>
        <v>2894998.6395083857</v>
      </c>
      <c r="L20" s="641">
        <f t="shared" si="6"/>
        <v>1979902.6222663226</v>
      </c>
      <c r="M20" s="641">
        <f t="shared" si="6"/>
        <v>451848.33935938164</v>
      </c>
      <c r="N20" s="641">
        <f t="shared" si="6"/>
        <v>17650817.626232993</v>
      </c>
    </row>
    <row r="21" spans="3:14" ht="19.899999999999999" customHeight="1" thickTop="1" thickBot="1">
      <c r="C21" s="654" t="s">
        <v>292</v>
      </c>
      <c r="D21" s="613"/>
    </row>
    <row r="22" spans="3:14" ht="19.899999999999999" customHeight="1">
      <c r="C22" s="651" t="s">
        <v>36</v>
      </c>
      <c r="D22" s="655">
        <f>D20*0.15</f>
        <v>2647622.6435599485</v>
      </c>
      <c r="E22" s="658">
        <f>E20*0.15</f>
        <v>330478.0369858201</v>
      </c>
      <c r="F22" s="658">
        <f t="shared" ref="F22:N22" si="7">F20*0.15</f>
        <v>392930.08383028483</v>
      </c>
      <c r="G22" s="658">
        <f t="shared" si="7"/>
        <v>340840.1033042341</v>
      </c>
      <c r="H22" s="658">
        <f t="shared" si="7"/>
        <v>418003.40255423408</v>
      </c>
      <c r="I22" s="658">
        <f t="shared" si="7"/>
        <v>9682.4644148438929</v>
      </c>
      <c r="J22" s="658">
        <f t="shared" si="7"/>
        <v>434135.82799416914</v>
      </c>
      <c r="K22" s="658">
        <f t="shared" si="7"/>
        <v>434249.79592625785</v>
      </c>
      <c r="L22" s="658">
        <f t="shared" si="7"/>
        <v>296985.39333994838</v>
      </c>
      <c r="M22" s="650">
        <f t="shared" si="7"/>
        <v>67777.250903907247</v>
      </c>
      <c r="N22" s="657">
        <f t="shared" si="7"/>
        <v>2647622.6439349488</v>
      </c>
    </row>
    <row r="23" spans="3:14" ht="19.899999999999999" customHeight="1">
      <c r="C23" s="652" t="s">
        <v>37</v>
      </c>
      <c r="D23" s="656">
        <f>D20*0.05</f>
        <v>882540.88118664967</v>
      </c>
      <c r="E23" s="656">
        <f t="shared" ref="E23:N23" si="8">E20*0.05</f>
        <v>110159.34566194004</v>
      </c>
      <c r="F23" s="656">
        <f t="shared" si="8"/>
        <v>130976.69461009496</v>
      </c>
      <c r="G23" s="656">
        <f t="shared" si="8"/>
        <v>113613.36776807805</v>
      </c>
      <c r="H23" s="656">
        <f t="shared" si="8"/>
        <v>139334.46751807802</v>
      </c>
      <c r="I23" s="656">
        <f t="shared" si="8"/>
        <v>3227.4881382812978</v>
      </c>
      <c r="J23" s="656">
        <f t="shared" si="8"/>
        <v>144711.94266472306</v>
      </c>
      <c r="K23" s="656">
        <f t="shared" si="8"/>
        <v>144749.93197541928</v>
      </c>
      <c r="L23" s="656">
        <f t="shared" si="8"/>
        <v>98995.131113316136</v>
      </c>
      <c r="M23" s="656">
        <f t="shared" si="8"/>
        <v>22592.416967969082</v>
      </c>
      <c r="N23" s="656">
        <f t="shared" si="8"/>
        <v>882540.88131164969</v>
      </c>
    </row>
    <row r="24" spans="3:14" ht="19.899999999999999" customHeight="1" thickBot="1">
      <c r="C24" s="653" t="s">
        <v>293</v>
      </c>
      <c r="D24" s="641">
        <f>D20-D22-D23</f>
        <v>14120654.098986395</v>
      </c>
      <c r="E24" s="641">
        <f t="shared" ref="E24:N24" si="9">E20-E22-E23</f>
        <v>1762549.5305910404</v>
      </c>
      <c r="F24" s="641">
        <f t="shared" si="9"/>
        <v>2095627.1137615193</v>
      </c>
      <c r="G24" s="641">
        <f t="shared" si="9"/>
        <v>1817813.8842892486</v>
      </c>
      <c r="H24" s="641">
        <f t="shared" si="9"/>
        <v>2229351.4802892483</v>
      </c>
      <c r="I24" s="641">
        <f t="shared" si="9"/>
        <v>51639.810212500764</v>
      </c>
      <c r="J24" s="641">
        <f t="shared" si="9"/>
        <v>2315391.0826355689</v>
      </c>
      <c r="K24" s="641">
        <f t="shared" si="9"/>
        <v>2315998.9116067085</v>
      </c>
      <c r="L24" s="641">
        <f t="shared" si="9"/>
        <v>1583922.0978130579</v>
      </c>
      <c r="M24" s="641">
        <f t="shared" si="9"/>
        <v>361478.67148750531</v>
      </c>
      <c r="N24" s="641">
        <f t="shared" si="9"/>
        <v>14120654.100986395</v>
      </c>
    </row>
    <row r="25" spans="3:14" ht="19.899999999999999" customHeight="1">
      <c r="D25" s="613"/>
    </row>
    <row r="27" spans="3:14" ht="15" thickBot="1"/>
    <row r="28" spans="3:14" ht="19.899999999999999" customHeight="1" thickBot="1">
      <c r="C28" s="676" t="s">
        <v>294</v>
      </c>
      <c r="D28" s="680" t="s">
        <v>295</v>
      </c>
      <c r="E28" s="682" t="s">
        <v>296</v>
      </c>
      <c r="F28" s="682" t="s">
        <v>296</v>
      </c>
      <c r="G28" s="682" t="s">
        <v>296</v>
      </c>
      <c r="H28" s="682" t="s">
        <v>296</v>
      </c>
      <c r="I28" s="682" t="s">
        <v>296</v>
      </c>
      <c r="J28" s="682" t="s">
        <v>296</v>
      </c>
      <c r="K28" s="682" t="s">
        <v>296</v>
      </c>
      <c r="L28" s="682" t="s">
        <v>296</v>
      </c>
      <c r="M28" s="682" t="s">
        <v>296</v>
      </c>
      <c r="N28" s="682" t="s">
        <v>296</v>
      </c>
    </row>
    <row r="29" spans="3:14" ht="19.899999999999999" customHeight="1">
      <c r="C29" s="659" t="s">
        <v>297</v>
      </c>
      <c r="D29" s="677">
        <f>D20</f>
        <v>17650817.623732992</v>
      </c>
      <c r="E29" s="681">
        <f>E20/4</f>
        <v>550796.72830970015</v>
      </c>
      <c r="F29" s="681">
        <f t="shared" ref="F29:N29" si="10">F20/4</f>
        <v>654883.47305047477</v>
      </c>
      <c r="G29" s="681">
        <f t="shared" si="10"/>
        <v>568066.83884039021</v>
      </c>
      <c r="H29" s="681">
        <f t="shared" si="10"/>
        <v>696672.33759039012</v>
      </c>
      <c r="I29" s="681">
        <f t="shared" si="10"/>
        <v>16137.440691406488</v>
      </c>
      <c r="J29" s="681">
        <f t="shared" si="10"/>
        <v>723559.71332361526</v>
      </c>
      <c r="K29" s="681">
        <f t="shared" si="10"/>
        <v>723749.65987709642</v>
      </c>
      <c r="L29" s="681">
        <f t="shared" si="10"/>
        <v>494975.65556658065</v>
      </c>
      <c r="M29" s="681">
        <f t="shared" si="10"/>
        <v>112962.08483984541</v>
      </c>
      <c r="N29" s="681">
        <f t="shared" si="10"/>
        <v>4412704.4065582482</v>
      </c>
    </row>
    <row r="30" spans="3:14" ht="19.899999999999999" customHeight="1">
      <c r="C30" s="679" t="str">
        <f>C22</f>
        <v>Arts Council Contribution @15%</v>
      </c>
      <c r="D30" s="677">
        <f>D22</f>
        <v>2647622.6435599485</v>
      </c>
      <c r="E30" s="681">
        <f>E22/4</f>
        <v>82619.509246455025</v>
      </c>
      <c r="F30" s="681">
        <f t="shared" ref="F30:N30" si="11">F22/4</f>
        <v>98232.520957571207</v>
      </c>
      <c r="G30" s="681">
        <f t="shared" si="11"/>
        <v>85210.025826058525</v>
      </c>
      <c r="H30" s="681">
        <f t="shared" si="11"/>
        <v>104500.85063855852</v>
      </c>
      <c r="I30" s="681">
        <f t="shared" si="11"/>
        <v>2420.6161037109732</v>
      </c>
      <c r="J30" s="681">
        <f t="shared" si="11"/>
        <v>108533.95699854229</v>
      </c>
      <c r="K30" s="681">
        <f t="shared" si="11"/>
        <v>108562.44898156446</v>
      </c>
      <c r="L30" s="681">
        <f t="shared" si="11"/>
        <v>74246.348334987095</v>
      </c>
      <c r="M30" s="681">
        <f t="shared" si="11"/>
        <v>16944.312725976812</v>
      </c>
      <c r="N30" s="681">
        <f t="shared" si="11"/>
        <v>661905.66098373721</v>
      </c>
    </row>
    <row r="31" spans="3:14" ht="19.899999999999999" customHeight="1" thickBot="1">
      <c r="C31" s="678" t="str">
        <f>C23</f>
        <v>Jayne Pierson Contribution @5%</v>
      </c>
      <c r="D31" s="677">
        <f>D23</f>
        <v>882540.88118664967</v>
      </c>
      <c r="E31" s="681">
        <f>E23/4</f>
        <v>27539.83641548501</v>
      </c>
      <c r="F31" s="681">
        <f t="shared" ref="F31:N31" si="12">F23/4</f>
        <v>32744.173652523739</v>
      </c>
      <c r="G31" s="681">
        <f t="shared" si="12"/>
        <v>28403.341942019513</v>
      </c>
      <c r="H31" s="681">
        <f t="shared" si="12"/>
        <v>34833.616879519504</v>
      </c>
      <c r="I31" s="681">
        <f t="shared" si="12"/>
        <v>806.87203457032444</v>
      </c>
      <c r="J31" s="681">
        <f t="shared" si="12"/>
        <v>36177.985666180764</v>
      </c>
      <c r="K31" s="681">
        <f t="shared" si="12"/>
        <v>36187.482993854821</v>
      </c>
      <c r="L31" s="681">
        <f t="shared" si="12"/>
        <v>24748.782778329034</v>
      </c>
      <c r="M31" s="681">
        <f t="shared" si="12"/>
        <v>5648.1042419922705</v>
      </c>
      <c r="N31" s="681">
        <f t="shared" si="12"/>
        <v>220635.22032791242</v>
      </c>
    </row>
    <row r="32" spans="3:14" ht="15" thickBot="1">
      <c r="D32" s="689">
        <f>SUM(D29:D31)</f>
        <v>21180981.148479588</v>
      </c>
      <c r="E32" s="689">
        <f>SUM(E29:E31)</f>
        <v>660956.0739716402</v>
      </c>
      <c r="F32" s="689">
        <f>SUM(F29:F31)</f>
        <v>785860.16766056977</v>
      </c>
      <c r="G32" s="689">
        <f>SUM(G29:G31)</f>
        <v>681680.2066084682</v>
      </c>
      <c r="H32" s="689">
        <f t="shared" ref="H32:N32" si="13">SUM(H29:H31)</f>
        <v>836006.80510846816</v>
      </c>
      <c r="I32" s="689">
        <f t="shared" si="13"/>
        <v>19364.928829687786</v>
      </c>
      <c r="J32" s="689">
        <f t="shared" si="13"/>
        <v>868271.65598833829</v>
      </c>
      <c r="K32" s="689">
        <f t="shared" si="13"/>
        <v>868499.5918525157</v>
      </c>
      <c r="L32" s="689">
        <f t="shared" si="13"/>
        <v>593970.78667989676</v>
      </c>
      <c r="M32" s="689">
        <f t="shared" si="13"/>
        <v>135554.50180781449</v>
      </c>
      <c r="N32" s="689">
        <f t="shared" si="13"/>
        <v>5295245.2878698986</v>
      </c>
    </row>
    <row r="33" spans="3:14" ht="15.6" thickTop="1" thickBot="1">
      <c r="C33" s="688">
        <v>0.05</v>
      </c>
      <c r="D33" s="610">
        <f>D32/100*0.05</f>
        <v>10590.490574239795</v>
      </c>
      <c r="E33" s="610">
        <f t="shared" ref="E33:N33" si="14">E32/100*0.05</f>
        <v>330.47803698582015</v>
      </c>
      <c r="F33" s="610">
        <f t="shared" si="14"/>
        <v>392.9300838302849</v>
      </c>
      <c r="G33" s="610">
        <f t="shared" si="14"/>
        <v>340.84010330423416</v>
      </c>
      <c r="H33" s="610">
        <f t="shared" si="14"/>
        <v>418.00340255423407</v>
      </c>
      <c r="I33" s="610">
        <f t="shared" si="14"/>
        <v>9.6824644148438939</v>
      </c>
      <c r="J33" s="610">
        <f t="shared" si="14"/>
        <v>434.13582799416918</v>
      </c>
      <c r="K33" s="610">
        <f t="shared" si="14"/>
        <v>434.24979592625789</v>
      </c>
      <c r="L33" s="610">
        <f t="shared" si="14"/>
        <v>296.98539333994836</v>
      </c>
      <c r="M33" s="610">
        <f t="shared" si="14"/>
        <v>67.777250903907245</v>
      </c>
      <c r="N33" s="610">
        <f t="shared" si="14"/>
        <v>2647.6226439349493</v>
      </c>
    </row>
    <row r="34" spans="3:14" ht="15" thickBot="1">
      <c r="C34" s="690" t="s">
        <v>298</v>
      </c>
      <c r="D34" s="641">
        <f>D32-D33</f>
        <v>21170390.657905348</v>
      </c>
      <c r="E34" s="641">
        <f t="shared" ref="E34:N34" si="15">E32-E33</f>
        <v>660625.59593465435</v>
      </c>
      <c r="F34" s="641">
        <f t="shared" si="15"/>
        <v>785467.23757673951</v>
      </c>
      <c r="G34" s="641">
        <f t="shared" si="15"/>
        <v>681339.36650516395</v>
      </c>
      <c r="H34" s="641">
        <f t="shared" si="15"/>
        <v>835588.80170591397</v>
      </c>
      <c r="I34" s="641">
        <f t="shared" si="15"/>
        <v>19355.246365272942</v>
      </c>
      <c r="J34" s="641">
        <f t="shared" si="15"/>
        <v>867837.52016034408</v>
      </c>
      <c r="K34" s="641">
        <f t="shared" si="15"/>
        <v>868065.34205658943</v>
      </c>
      <c r="L34" s="641">
        <f t="shared" si="15"/>
        <v>593673.80128655676</v>
      </c>
      <c r="M34" s="641">
        <f t="shared" si="15"/>
        <v>135486.72455691057</v>
      </c>
      <c r="N34" s="641">
        <f t="shared" si="15"/>
        <v>5292597.665225964</v>
      </c>
    </row>
  </sheetData>
  <phoneticPr fontId="43"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FB98A-7AE1-4892-9623-AA142227D24A}">
  <dimension ref="B2:P13"/>
  <sheetViews>
    <sheetView zoomScale="91" zoomScaleNormal="91" workbookViewId="0">
      <selection activeCell="E16" sqref="E16"/>
    </sheetView>
  </sheetViews>
  <sheetFormatPr defaultRowHeight="14.45"/>
  <cols>
    <col min="1" max="1" width="6.42578125" customWidth="1"/>
    <col min="2" max="2" width="18.5703125" customWidth="1"/>
    <col min="3" max="3" width="26.42578125" customWidth="1"/>
    <col min="4" max="6" width="15.7109375" style="660" customWidth="1"/>
    <col min="7" max="7" width="1.85546875" style="660" customWidth="1"/>
    <col min="8" max="8" width="24.7109375" style="660" customWidth="1"/>
    <col min="9" max="11" width="15.7109375" style="660" customWidth="1"/>
    <col min="12" max="12" width="1.85546875" style="660" customWidth="1"/>
    <col min="13" max="13" width="32.140625" style="660" customWidth="1"/>
    <col min="14" max="16" width="15.7109375" style="660" customWidth="1"/>
  </cols>
  <sheetData>
    <row r="2" spans="2:16" ht="19.149999999999999">
      <c r="B2" s="661"/>
      <c r="C2" s="661"/>
      <c r="D2" s="662"/>
      <c r="E2" s="662"/>
      <c r="F2" s="663"/>
      <c r="G2" s="663"/>
      <c r="H2" s="663"/>
      <c r="I2" s="745"/>
      <c r="J2" s="745"/>
      <c r="K2" s="662"/>
      <c r="L2" s="662"/>
      <c r="M2" s="662"/>
      <c r="N2" s="662"/>
      <c r="O2" s="662"/>
      <c r="P2" s="662"/>
    </row>
    <row r="3" spans="2:16">
      <c r="B3" s="661"/>
      <c r="C3" s="661"/>
      <c r="D3" s="662"/>
      <c r="E3" s="662"/>
      <c r="F3" s="662"/>
      <c r="G3" s="662"/>
      <c r="H3" s="662"/>
      <c r="I3" s="662"/>
      <c r="J3" s="662"/>
      <c r="K3" s="662"/>
      <c r="L3" s="662"/>
      <c r="M3" s="662"/>
      <c r="N3" s="662"/>
      <c r="O3" s="662"/>
      <c r="P3" s="662"/>
    </row>
    <row r="4" spans="2:16" ht="15" thickBot="1">
      <c r="B4" s="661"/>
      <c r="C4" s="661"/>
      <c r="D4" s="662"/>
      <c r="E4" s="662"/>
      <c r="F4" s="662"/>
      <c r="G4" s="662"/>
      <c r="H4" s="662"/>
      <c r="I4" s="662"/>
      <c r="J4" s="662"/>
      <c r="K4" s="662"/>
      <c r="L4" s="662"/>
      <c r="M4" s="662"/>
      <c r="N4" s="662"/>
      <c r="O4" s="662"/>
      <c r="P4" s="662"/>
    </row>
    <row r="5" spans="2:16">
      <c r="B5" s="668"/>
      <c r="C5" s="742" t="s">
        <v>299</v>
      </c>
      <c r="D5" s="743"/>
      <c r="E5" s="743"/>
      <c r="F5" s="744"/>
      <c r="G5" s="717"/>
      <c r="H5" s="742" t="s">
        <v>300</v>
      </c>
      <c r="I5" s="743"/>
      <c r="J5" s="743"/>
      <c r="K5" s="744"/>
      <c r="L5" s="717"/>
      <c r="M5" s="742" t="s">
        <v>301</v>
      </c>
      <c r="N5" s="743"/>
      <c r="O5" s="743"/>
      <c r="P5" s="744"/>
    </row>
    <row r="6" spans="2:16" ht="30.6" customHeight="1" thickBot="1">
      <c r="B6" s="674" t="s">
        <v>302</v>
      </c>
      <c r="C6" s="669" t="s">
        <v>303</v>
      </c>
      <c r="D6" s="670" t="s">
        <v>304</v>
      </c>
      <c r="E6" s="671" t="s">
        <v>305</v>
      </c>
      <c r="F6" s="672" t="s">
        <v>306</v>
      </c>
      <c r="G6" s="718"/>
      <c r="H6" s="691" t="s">
        <v>303</v>
      </c>
      <c r="I6" s="673" t="s">
        <v>307</v>
      </c>
      <c r="J6" s="671" t="s">
        <v>305</v>
      </c>
      <c r="K6" s="672" t="s">
        <v>306</v>
      </c>
      <c r="L6" s="718"/>
      <c r="M6" s="691" t="s">
        <v>303</v>
      </c>
      <c r="N6" s="673" t="s">
        <v>307</v>
      </c>
      <c r="O6" s="671" t="s">
        <v>305</v>
      </c>
      <c r="P6" s="672" t="s">
        <v>306</v>
      </c>
    </row>
    <row r="7" spans="2:16" ht="10.9" customHeight="1">
      <c r="B7" s="675"/>
      <c r="C7" s="664"/>
      <c r="D7" s="665"/>
      <c r="E7" s="666"/>
      <c r="F7" s="667"/>
      <c r="G7" s="714"/>
      <c r="H7" s="693"/>
      <c r="I7" s="665"/>
      <c r="J7" s="666"/>
      <c r="K7" s="667"/>
      <c r="L7" s="714"/>
      <c r="M7" s="692"/>
      <c r="N7" s="665"/>
      <c r="O7" s="666"/>
      <c r="P7" s="667"/>
    </row>
    <row r="8" spans="2:16" ht="63.6" customHeight="1">
      <c r="B8" s="710" t="s">
        <v>308</v>
      </c>
      <c r="C8" s="695" t="s">
        <v>309</v>
      </c>
      <c r="D8" s="702">
        <v>4021</v>
      </c>
      <c r="E8" s="703">
        <f>'NRM1 CP template '!I40</f>
        <v>300</v>
      </c>
      <c r="F8" s="700">
        <f>D8*E8</f>
        <v>1206300</v>
      </c>
      <c r="G8" s="715"/>
      <c r="H8" s="694" t="s">
        <v>310</v>
      </c>
      <c r="I8" s="706">
        <f>D8</f>
        <v>4021</v>
      </c>
      <c r="J8" s="707">
        <v>490</v>
      </c>
      <c r="K8" s="701">
        <f>I8*J8</f>
        <v>1970290</v>
      </c>
      <c r="L8" s="715"/>
      <c r="M8" s="694" t="s">
        <v>311</v>
      </c>
      <c r="N8" s="702">
        <f>D8</f>
        <v>4021</v>
      </c>
      <c r="O8" s="707">
        <v>500</v>
      </c>
      <c r="P8" s="701">
        <f>N8*O8</f>
        <v>2010500</v>
      </c>
    </row>
    <row r="9" spans="2:16" ht="44.45" customHeight="1">
      <c r="B9" s="710" t="s">
        <v>312</v>
      </c>
      <c r="C9" s="696" t="s">
        <v>313</v>
      </c>
      <c r="D9" s="702">
        <v>2240</v>
      </c>
      <c r="E9" s="703">
        <f>'NRM1 CP template '!I51</f>
        <v>140</v>
      </c>
      <c r="F9" s="700">
        <f>D9*E9</f>
        <v>313600</v>
      </c>
      <c r="G9" s="715"/>
      <c r="H9" s="694" t="s">
        <v>314</v>
      </c>
      <c r="I9" s="706">
        <f t="shared" ref="I9:I11" si="0">D9</f>
        <v>2240</v>
      </c>
      <c r="J9" s="707">
        <v>490</v>
      </c>
      <c r="K9" s="701">
        <f t="shared" ref="K9:K11" si="1">I9*J9</f>
        <v>1097600</v>
      </c>
      <c r="L9" s="715"/>
      <c r="M9" s="695" t="s">
        <v>315</v>
      </c>
      <c r="N9" s="702">
        <f t="shared" ref="N9:N11" si="2">D9</f>
        <v>2240</v>
      </c>
      <c r="O9" s="707">
        <v>235</v>
      </c>
      <c r="P9" s="701">
        <f t="shared" ref="P9:P11" si="3">N9*O9</f>
        <v>526400</v>
      </c>
    </row>
    <row r="10" spans="2:16" ht="40.9" customHeight="1">
      <c r="B10" s="710" t="s">
        <v>316</v>
      </c>
      <c r="C10" s="696" t="s">
        <v>317</v>
      </c>
      <c r="D10" s="702">
        <v>2881</v>
      </c>
      <c r="E10" s="703">
        <f>'NRM1 CP template '!I91</f>
        <v>80</v>
      </c>
      <c r="F10" s="700">
        <f>D10*E10</f>
        <v>230480</v>
      </c>
      <c r="G10" s="715"/>
      <c r="H10" s="698" t="s">
        <v>318</v>
      </c>
      <c r="I10" s="706">
        <f t="shared" si="0"/>
        <v>2881</v>
      </c>
      <c r="J10" s="707">
        <v>85</v>
      </c>
      <c r="K10" s="701">
        <f t="shared" si="1"/>
        <v>244885</v>
      </c>
      <c r="L10" s="715"/>
      <c r="M10" s="694" t="s">
        <v>319</v>
      </c>
      <c r="N10" s="702">
        <f t="shared" si="2"/>
        <v>2881</v>
      </c>
      <c r="O10" s="707">
        <v>200</v>
      </c>
      <c r="P10" s="701">
        <f t="shared" si="3"/>
        <v>576200</v>
      </c>
    </row>
    <row r="11" spans="2:16" ht="45" customHeight="1" thickBot="1">
      <c r="B11" s="711" t="s">
        <v>320</v>
      </c>
      <c r="C11" s="697" t="s">
        <v>321</v>
      </c>
      <c r="D11" s="704">
        <v>4021</v>
      </c>
      <c r="E11" s="705">
        <f>'NRM1 CP template '!I64</f>
        <v>200</v>
      </c>
      <c r="F11" s="700">
        <f>D11*E11</f>
        <v>804200</v>
      </c>
      <c r="G11" s="716"/>
      <c r="H11" s="713" t="s">
        <v>322</v>
      </c>
      <c r="I11" s="708">
        <f t="shared" si="0"/>
        <v>4021</v>
      </c>
      <c r="J11" s="709">
        <v>100</v>
      </c>
      <c r="K11" s="701">
        <f t="shared" si="1"/>
        <v>402100</v>
      </c>
      <c r="L11" s="716"/>
      <c r="M11" s="712" t="s">
        <v>323</v>
      </c>
      <c r="N11" s="699">
        <f t="shared" si="2"/>
        <v>4021</v>
      </c>
      <c r="O11" s="709">
        <v>180</v>
      </c>
      <c r="P11" s="701">
        <f t="shared" si="3"/>
        <v>723780</v>
      </c>
    </row>
    <row r="12" spans="2:16" ht="18" customHeight="1" thickBot="1">
      <c r="B12" s="661"/>
      <c r="C12" s="661"/>
      <c r="D12" s="662"/>
      <c r="E12" s="662" t="s">
        <v>44</v>
      </c>
      <c r="F12" s="719">
        <f>SUM(F8:F11)</f>
        <v>2554580</v>
      </c>
      <c r="G12" s="662"/>
      <c r="H12" s="662"/>
      <c r="I12" s="662"/>
      <c r="J12" s="662"/>
      <c r="K12" s="719">
        <f>SUM(K8:K11)</f>
        <v>3714875</v>
      </c>
      <c r="L12" s="662"/>
      <c r="M12" s="662"/>
      <c r="N12" s="662"/>
      <c r="O12" s="662"/>
      <c r="P12" s="719">
        <f>SUM(P8:P11)</f>
        <v>3836880</v>
      </c>
    </row>
    <row r="13" spans="2:16" ht="15" thickTop="1">
      <c r="B13" s="661"/>
      <c r="C13" s="661"/>
      <c r="D13" s="662"/>
      <c r="E13" s="662"/>
      <c r="F13" s="662"/>
      <c r="G13" s="662"/>
      <c r="H13" s="662"/>
      <c r="I13" s="662"/>
      <c r="J13" s="662"/>
      <c r="K13" s="662"/>
      <c r="L13" s="662"/>
      <c r="M13" s="662"/>
      <c r="N13" s="662"/>
      <c r="O13" s="662"/>
      <c r="P13" s="662"/>
    </row>
  </sheetData>
  <mergeCells count="4">
    <mergeCell ref="C5:F5"/>
    <mergeCell ref="I2:J2"/>
    <mergeCell ref="H5:K5"/>
    <mergeCell ref="M5:P5"/>
  </mergeCells>
  <phoneticPr fontId="43"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a2e63ad-1c8f-4e37-b470-8c0a2d2140b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762C352B88B9E47AAFAF4D2986FD748" ma:contentTypeVersion="10" ma:contentTypeDescription="Create a new document." ma:contentTypeScope="" ma:versionID="7973107ffd950056219b0c2d59d9a64d">
  <xsd:schema xmlns:xsd="http://www.w3.org/2001/XMLSchema" xmlns:xs="http://www.w3.org/2001/XMLSchema" xmlns:p="http://schemas.microsoft.com/office/2006/metadata/properties" xmlns:ns2="7a2e63ad-1c8f-4e37-b470-8c0a2d2140b8" targetNamespace="http://schemas.microsoft.com/office/2006/metadata/properties" ma:root="true" ma:fieldsID="527cbde9a78e56d4bc411a2000485422" ns2:_="">
    <xsd:import namespace="7a2e63ad-1c8f-4e37-b470-8c0a2d2140b8"/>
    <xsd:element name="properties">
      <xsd:complexType>
        <xsd:sequence>
          <xsd:element name="documentManagement">
            <xsd:complexType>
              <xsd:all>
                <xsd:element ref="ns2:lcf76f155ced4ddcb4097134ff3c332f"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2e63ad-1c8f-4e37-b470-8c0a2d2140b8"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05D400-BA82-4E52-9DBD-C54A8238B8A1}"/>
</file>

<file path=customXml/itemProps2.xml><?xml version="1.0" encoding="utf-8"?>
<ds:datastoreItem xmlns:ds="http://schemas.openxmlformats.org/officeDocument/2006/customXml" ds:itemID="{41A70F31-7E83-430B-9E2E-CD579345856B}"/>
</file>

<file path=customXml/itemProps3.xml><?xml version="1.0" encoding="utf-8"?>
<ds:datastoreItem xmlns:ds="http://schemas.openxmlformats.org/officeDocument/2006/customXml" ds:itemID="{4FA28581-2E71-4751-AFC0-3FD67084F28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Davies, Liam</dc:creator>
  <cp:keywords/>
  <dc:description/>
  <cp:lastModifiedBy>Lynsey Davies (1911295)</cp:lastModifiedBy>
  <cp:revision/>
  <dcterms:created xsi:type="dcterms:W3CDTF">2018-02-14T10:41:56Z</dcterms:created>
  <dcterms:modified xsi:type="dcterms:W3CDTF">2024-04-24T08:39:35Z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RiskLevel">
    <vt:lpwstr/>
  </property>
  <property fmtid="{D5CDD505-2E9C-101B-9397-08002B2CF9AE}" pid="3" name="DocRiskLevelWizardText">
    <vt:lpwstr>Atkins Baseline</vt:lpwstr>
  </property>
  <property fmtid="{D5CDD505-2E9C-101B-9397-08002B2CF9AE}" pid="4" name="DocRiskLevelWizardMarker">
    <vt:lpwstr/>
  </property>
  <property fmtid="{D5CDD505-2E9C-101B-9397-08002B2CF9AE}" pid="5" name="ContentTypeId">
    <vt:lpwstr>0x0101003762C352B88B9E47AAFAF4D2986FD748</vt:lpwstr>
  </property>
  <property fmtid="{D5CDD505-2E9C-101B-9397-08002B2CF9AE}" pid="6" name="MediaServiceImageTags">
    <vt:lpwstr/>
  </property>
</Properties>
</file>