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227"/>
  <workbookPr/>
  <mc:AlternateContent xmlns:mc="http://schemas.openxmlformats.org/markup-compatibility/2006">
    <mc:Choice Requires="x15">
      <x15ac:absPath xmlns:x15ac="http://schemas.microsoft.com/office/spreadsheetml/2010/11/ac" url="C:\Users\sophi\Documents\Documents\University\BSc\Integrated Group Project\Work to Submit\"/>
    </mc:Choice>
  </mc:AlternateContent>
  <xr:revisionPtr revIDLastSave="0" documentId="13_ncr:1_{B65900FF-8E09-4F53-AA23-B92776FEA934}" xr6:coauthVersionLast="47" xr6:coauthVersionMax="47" xr10:uidLastSave="{00000000-0000-0000-0000-000000000000}"/>
  <bookViews>
    <workbookView xWindow="-108" yWindow="-108" windowWidth="23256" windowHeight="12576" activeTab="2" xr2:uid="{00000000-000D-0000-FFFF-FFFF00000000}"/>
  </bookViews>
  <sheets>
    <sheet name="Tender Qualifications" sheetId="5" r:id="rId1"/>
    <sheet name="Summary" sheetId="1" r:id="rId2"/>
    <sheet name="Details" sheetId="8" r:id="rId3"/>
    <sheet name="Steel Schedule" sheetId="9" r:id="rId4"/>
    <sheet name="Rooms" sheetId="11" r:id="rId5"/>
  </sheets>
  <externalReferences>
    <externalReference r:id="rId6"/>
    <externalReference r:id="rId7"/>
    <externalReference r:id="rId8"/>
    <externalReference r:id="rId9"/>
    <externalReference r:id="rId10"/>
    <externalReference r:id="rId11"/>
  </externalReferences>
  <definedNames>
    <definedName name="____val2">'[1]TAKE OFF''S'!#REF!</definedName>
    <definedName name="_val2">'[1]TAKE OFF''S'!#REF!</definedName>
    <definedName name="af">#REF!</definedName>
    <definedName name="afd">#REF!</definedName>
    <definedName name="anscount" hidden="1">1</definedName>
    <definedName name="AREAS">#REF!</definedName>
    <definedName name="AV">'[2]TAKE OFF''S'!#REF!</definedName>
    <definedName name="AVE.">#REF!</definedName>
    <definedName name="b">#REF!</definedName>
    <definedName name="BASIS">#REF!</definedName>
    <definedName name="BASIS1">#REF!</definedName>
    <definedName name="BH">#REF!</definedName>
    <definedName name="centrelinecavity">[3]Calcs!$C$223</definedName>
    <definedName name="DIMS">'[1]TAKE OFF''S'!#REF!</definedName>
    <definedName name="lengthstripfnds">[3]Calcs!$C$147</definedName>
    <definedName name="limcount" hidden="1">1</definedName>
    <definedName name="lll">'[1]TAKE OFF''S'!#REF!</definedName>
    <definedName name="M60_121FlrPaintPlantRms">[4]Calcs!#REF!</definedName>
    <definedName name="MAY_99_VALUATION_VALUATIONS_List">#REF!</definedName>
    <definedName name="P20_110Sktg">[5]Calcs!$K$873</definedName>
    <definedName name="pgd">#REF!</definedName>
    <definedName name="_xlnm.Print_Area">#REF!</definedName>
    <definedName name="SFtgsGulleyhopperbackinlet150">'[6]SW drain calcs'!#REF!</definedName>
    <definedName name="SFtgsGulleyTrap150">'[6]SW drain calcs'!#REF!</definedName>
    <definedName name="slabarea">[3]Calcs!$C$173</definedName>
    <definedName name="slabisolationjoints">[3]Calcs!$C$183</definedName>
    <definedName name="STrenchEoBreakEdging">'[6]SW drain calcs'!#REF!</definedName>
    <definedName name="STrenchEoBreakKerb">'[6]SW drain calcs'!#REF!</definedName>
    <definedName name="STrenchEoBreakMac">'[6]SW drain calcs'!#REF!</definedName>
    <definedName name="UpperFlrSlabArea">[4]Calcs!#REF!</definedName>
    <definedName name="UpperFlrSlabGrth">[4]Calcs!#REF!</definedName>
    <definedName name="val">'[1]TAKE OFF''S'!#REF!</definedName>
    <definedName name="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0" i="1" l="1"/>
  <c r="C789" i="8"/>
  <c r="C736" i="8"/>
  <c r="C707" i="8"/>
  <c r="C664" i="8"/>
  <c r="C226" i="8"/>
  <c r="C474" i="8" s="1"/>
  <c r="B33" i="11"/>
  <c r="B32" i="11"/>
  <c r="B27" i="11"/>
  <c r="B24" i="11"/>
  <c r="B23" i="11"/>
  <c r="B22" i="11"/>
  <c r="B21" i="11"/>
  <c r="B20" i="11"/>
  <c r="B19" i="11"/>
  <c r="B18" i="11"/>
  <c r="B17" i="11"/>
  <c r="B16" i="11"/>
  <c r="B15" i="11"/>
  <c r="B14" i="11"/>
  <c r="B13" i="11"/>
  <c r="B10" i="11"/>
  <c r="B9" i="11"/>
  <c r="B5" i="11"/>
  <c r="B4" i="11"/>
  <c r="B34" i="11" s="1"/>
  <c r="B2" i="11"/>
  <c r="C127" i="8" l="1"/>
  <c r="C129" i="8" s="1"/>
  <c r="C113" i="8"/>
  <c r="C110" i="8"/>
  <c r="C107" i="8"/>
  <c r="C116" i="8" s="1"/>
  <c r="C392" i="8"/>
  <c r="E653" i="8"/>
  <c r="E720" i="8"/>
  <c r="E692" i="8"/>
  <c r="E691" i="8"/>
  <c r="E688" i="8"/>
  <c r="E685" i="8"/>
  <c r="E681" i="8"/>
  <c r="E680" i="8"/>
  <c r="E679" i="8"/>
  <c r="E1028" i="8"/>
  <c r="E1021" i="8"/>
  <c r="E1018" i="8"/>
  <c r="E1015" i="8"/>
  <c r="E1006" i="8"/>
  <c r="E1005" i="8"/>
  <c r="E1004" i="8"/>
  <c r="E1003" i="8"/>
  <c r="E1000" i="8"/>
  <c r="E999" i="8"/>
  <c r="E998" i="8"/>
  <c r="E990" i="8"/>
  <c r="E989" i="8"/>
  <c r="E981" i="8"/>
  <c r="E977" i="8"/>
  <c r="E969" i="8"/>
  <c r="E960" i="8"/>
  <c r="E956" i="8"/>
  <c r="E952" i="8"/>
  <c r="E949" i="8"/>
  <c r="E946" i="8"/>
  <c r="E945" i="8"/>
  <c r="E937" i="8"/>
  <c r="E936" i="8"/>
  <c r="E935" i="8"/>
  <c r="E927" i="8"/>
  <c r="E924" i="8"/>
  <c r="E921" i="8"/>
  <c r="E913" i="8"/>
  <c r="E908" i="8"/>
  <c r="E904" i="8"/>
  <c r="E899" i="8"/>
  <c r="E894" i="8"/>
  <c r="E889" i="8"/>
  <c r="E886" i="8"/>
  <c r="E883" i="8"/>
  <c r="E872" i="8"/>
  <c r="F872" i="8" s="1"/>
  <c r="F875" i="8" s="1"/>
  <c r="E865" i="8"/>
  <c r="E864" i="8"/>
  <c r="E859" i="8"/>
  <c r="E854" i="8"/>
  <c r="E849" i="8"/>
  <c r="E848" i="8"/>
  <c r="E847" i="8"/>
  <c r="E844" i="8"/>
  <c r="E843" i="8"/>
  <c r="E840" i="8"/>
  <c r="E836" i="8"/>
  <c r="E835" i="8"/>
  <c r="E834" i="8"/>
  <c r="E829" i="8"/>
  <c r="E828" i="8"/>
  <c r="E824" i="8"/>
  <c r="E813" i="8"/>
  <c r="E810" i="8"/>
  <c r="E805" i="8"/>
  <c r="E801" i="8"/>
  <c r="E797" i="8"/>
  <c r="E793" i="8"/>
  <c r="E789" i="8"/>
  <c r="E784" i="8"/>
  <c r="E780" i="8"/>
  <c r="E777" i="8"/>
  <c r="E774" i="8"/>
  <c r="E769" i="8"/>
  <c r="E761" i="8"/>
  <c r="E760" i="8"/>
  <c r="E757" i="8"/>
  <c r="E753" i="8"/>
  <c r="E749" i="8"/>
  <c r="E746" i="8"/>
  <c r="E743" i="8"/>
  <c r="E739" i="8"/>
  <c r="E736" i="8"/>
  <c r="E732" i="8"/>
  <c r="E724" i="8"/>
  <c r="E717" i="8"/>
  <c r="E714" i="8"/>
  <c r="E710" i="8"/>
  <c r="E707" i="8"/>
  <c r="E703" i="8"/>
  <c r="E668" i="8"/>
  <c r="E664" i="8"/>
  <c r="E660" i="8"/>
  <c r="E656" i="8"/>
  <c r="E652" i="8"/>
  <c r="E648" i="8"/>
  <c r="E644" i="8"/>
  <c r="E640" i="8"/>
  <c r="E633" i="8"/>
  <c r="E632" i="8"/>
  <c r="E631" i="8"/>
  <c r="E628" i="8"/>
  <c r="E625" i="8"/>
  <c r="E615" i="8"/>
  <c r="E608" i="8"/>
  <c r="E600" i="8"/>
  <c r="E597" i="8"/>
  <c r="E593" i="8"/>
  <c r="E589" i="8"/>
  <c r="E585" i="8"/>
  <c r="E581" i="8"/>
  <c r="E577" i="8"/>
  <c r="E573" i="8"/>
  <c r="E565" i="8"/>
  <c r="F565" i="8" s="1"/>
  <c r="E562" i="8"/>
  <c r="F562" i="8" s="1"/>
  <c r="E559" i="8"/>
  <c r="E556" i="8"/>
  <c r="F556" i="8" s="1"/>
  <c r="E553" i="8"/>
  <c r="F553" i="8" s="1"/>
  <c r="E546" i="8"/>
  <c r="E545" i="8"/>
  <c r="E544" i="8"/>
  <c r="E541" i="8"/>
  <c r="E538" i="8"/>
  <c r="E537" i="8"/>
  <c r="E534" i="8"/>
  <c r="E533" i="8"/>
  <c r="E522" i="8"/>
  <c r="E519" i="8"/>
  <c r="E515" i="8"/>
  <c r="E514" i="8"/>
  <c r="E506" i="8"/>
  <c r="E495" i="8"/>
  <c r="E487" i="8"/>
  <c r="E485" i="8"/>
  <c r="E474" i="8"/>
  <c r="E471" i="8"/>
  <c r="E470" i="8"/>
  <c r="E466" i="8"/>
  <c r="E455" i="8"/>
  <c r="F455" i="8" s="1"/>
  <c r="F458" i="8" s="1"/>
  <c r="E447" i="8"/>
  <c r="E439" i="8"/>
  <c r="E431" i="8"/>
  <c r="E427" i="8"/>
  <c r="E419" i="8"/>
  <c r="E409" i="8"/>
  <c r="E408" i="8"/>
  <c r="E407" i="8"/>
  <c r="E396" i="8"/>
  <c r="E392" i="8"/>
  <c r="E381" i="8"/>
  <c r="E380" i="8"/>
  <c r="E377" i="8"/>
  <c r="E376" i="8"/>
  <c r="E375" i="8"/>
  <c r="E374" i="8"/>
  <c r="E373" i="8"/>
  <c r="E372" i="8"/>
  <c r="E371" i="8"/>
  <c r="E370" i="8"/>
  <c r="E369" i="8"/>
  <c r="E368" i="8"/>
  <c r="E365" i="8"/>
  <c r="E364" i="8"/>
  <c r="E363" i="8"/>
  <c r="E362" i="8"/>
  <c r="E361" i="8"/>
  <c r="E360" i="8"/>
  <c r="E359" i="8"/>
  <c r="E358" i="8"/>
  <c r="E357" i="8"/>
  <c r="E356" i="8"/>
  <c r="E353" i="8"/>
  <c r="E352" i="8"/>
  <c r="E351" i="8"/>
  <c r="E350" i="8"/>
  <c r="E349" i="8"/>
  <c r="E348" i="8"/>
  <c r="E347" i="8"/>
  <c r="E346" i="8"/>
  <c r="E345" i="8"/>
  <c r="E342" i="8"/>
  <c r="E341" i="8"/>
  <c r="E340" i="8"/>
  <c r="E339" i="8"/>
  <c r="E338" i="8"/>
  <c r="E337" i="8"/>
  <c r="E336" i="8"/>
  <c r="E335" i="8"/>
  <c r="E332" i="8"/>
  <c r="E331" i="8"/>
  <c r="E330" i="8"/>
  <c r="E329" i="8"/>
  <c r="E328" i="8"/>
  <c r="E327" i="8"/>
  <c r="E326" i="8"/>
  <c r="E325" i="8"/>
  <c r="E324" i="8"/>
  <c r="E323" i="8"/>
  <c r="E315" i="8"/>
  <c r="E311" i="8"/>
  <c r="E306" i="8"/>
  <c r="E302" i="8"/>
  <c r="E293" i="8"/>
  <c r="E285" i="8"/>
  <c r="E274" i="8"/>
  <c r="E263" i="8"/>
  <c r="E262" i="8"/>
  <c r="E261" i="8"/>
  <c r="E253" i="8"/>
  <c r="E251" i="8"/>
  <c r="E240" i="8"/>
  <c r="E239" i="8"/>
  <c r="E237" i="8"/>
  <c r="E226" i="8"/>
  <c r="E223" i="8"/>
  <c r="E215" i="8"/>
  <c r="E211" i="8"/>
  <c r="E200" i="8"/>
  <c r="E189" i="8"/>
  <c r="E186" i="8"/>
  <c r="E183" i="8"/>
  <c r="E175" i="8"/>
  <c r="E172" i="8"/>
  <c r="E168" i="8"/>
  <c r="E160" i="8"/>
  <c r="E148" i="8"/>
  <c r="E136" i="8"/>
  <c r="E129" i="8"/>
  <c r="E128" i="8"/>
  <c r="E127" i="8"/>
  <c r="E119" i="8"/>
  <c r="E116" i="8"/>
  <c r="E113" i="8"/>
  <c r="E110" i="8"/>
  <c r="E107" i="8"/>
  <c r="E96" i="8"/>
  <c r="E88" i="8"/>
  <c r="E80" i="8"/>
  <c r="E79" i="8"/>
  <c r="E75" i="8"/>
  <c r="E71" i="8"/>
  <c r="E69" i="8"/>
  <c r="E65" i="8"/>
  <c r="F65" i="8" s="1"/>
  <c r="E61" i="8"/>
  <c r="E54" i="8"/>
  <c r="E51" i="8"/>
  <c r="E43" i="8"/>
  <c r="E39" i="8"/>
  <c r="E27" i="8"/>
  <c r="F27" i="8" s="1"/>
  <c r="E24" i="8"/>
  <c r="E21" i="8"/>
  <c r="E10" i="8"/>
  <c r="A27" i="1"/>
  <c r="A26" i="1"/>
  <c r="A25" i="1"/>
  <c r="A24" i="1"/>
  <c r="A23" i="1"/>
  <c r="A22" i="1"/>
  <c r="A21" i="1"/>
  <c r="A20" i="1"/>
  <c r="A19" i="1"/>
  <c r="A18" i="1"/>
  <c r="A17" i="1"/>
  <c r="A16" i="1"/>
  <c r="A15" i="1"/>
  <c r="A14" i="1"/>
  <c r="A13" i="1"/>
  <c r="A12" i="1"/>
  <c r="A11" i="1"/>
  <c r="A10" i="1"/>
  <c r="A9" i="1"/>
  <c r="A8" i="1"/>
  <c r="A7" i="1"/>
  <c r="B27" i="1"/>
  <c r="B30" i="1"/>
  <c r="B29" i="1"/>
  <c r="B28" i="1"/>
  <c r="B26" i="1"/>
  <c r="B25" i="1"/>
  <c r="B24" i="1"/>
  <c r="B23" i="1"/>
  <c r="B22" i="1"/>
  <c r="B21" i="1"/>
  <c r="B20" i="1"/>
  <c r="B19" i="1"/>
  <c r="B18" i="1"/>
  <c r="B17" i="1"/>
  <c r="B16" i="1"/>
  <c r="B15" i="1"/>
  <c r="B14" i="1"/>
  <c r="B13" i="1"/>
  <c r="B12" i="1"/>
  <c r="B11" i="1"/>
  <c r="B10" i="1"/>
  <c r="B9" i="1"/>
  <c r="B8" i="1"/>
  <c r="B7" i="1"/>
  <c r="F600" i="8"/>
  <c r="F148" i="8"/>
  <c r="F151" i="8" s="1"/>
  <c r="F153" i="8" s="1"/>
  <c r="C11" i="1" s="1"/>
  <c r="F559" i="8"/>
  <c r="F608" i="8"/>
  <c r="F610" i="8" s="1"/>
  <c r="C168" i="8"/>
  <c r="C160" i="8"/>
  <c r="C10" i="8"/>
  <c r="F615" i="8"/>
  <c r="F617" i="8" s="1"/>
  <c r="F136" i="8"/>
  <c r="F139" i="8" s="1"/>
  <c r="C128" i="8" l="1"/>
  <c r="F160" i="8"/>
  <c r="F163" i="8" s="1"/>
  <c r="C119" i="8"/>
  <c r="F119" i="8" s="1"/>
  <c r="F168" i="8"/>
  <c r="F568" i="8"/>
  <c r="F692" i="8" l="1"/>
  <c r="C691" i="8"/>
  <c r="F691" i="8" s="1"/>
  <c r="F688" i="8"/>
  <c r="F685" i="8"/>
  <c r="F681" i="8"/>
  <c r="F680" i="8"/>
  <c r="F679" i="8"/>
  <c r="F1028" i="8"/>
  <c r="F1031" i="8" s="1"/>
  <c r="F1021" i="8"/>
  <c r="F1018" i="8"/>
  <c r="F1015" i="8"/>
  <c r="F1006" i="8"/>
  <c r="F1005" i="8"/>
  <c r="F1004" i="8"/>
  <c r="F1003" i="8"/>
  <c r="F1000" i="8"/>
  <c r="F999" i="8"/>
  <c r="F998" i="8"/>
  <c r="F990" i="8"/>
  <c r="F989" i="8"/>
  <c r="C894" i="8"/>
  <c r="F894" i="8" s="1"/>
  <c r="F956" i="8"/>
  <c r="F981" i="8"/>
  <c r="F977" i="8"/>
  <c r="F969" i="8"/>
  <c r="F972" i="8" s="1"/>
  <c r="F960" i="8"/>
  <c r="F952" i="8"/>
  <c r="C946" i="8"/>
  <c r="F946" i="8" s="1"/>
  <c r="F949" i="8"/>
  <c r="F945" i="8"/>
  <c r="C937" i="8"/>
  <c r="F937" i="8" s="1"/>
  <c r="F936" i="8"/>
  <c r="F935" i="8"/>
  <c r="F927" i="8"/>
  <c r="F924" i="8"/>
  <c r="F921" i="8"/>
  <c r="F913" i="8"/>
  <c r="F908" i="8"/>
  <c r="F904" i="8"/>
  <c r="F899" i="8"/>
  <c r="F889" i="8"/>
  <c r="F886" i="8"/>
  <c r="F883" i="8"/>
  <c r="C865" i="8"/>
  <c r="F865" i="8" s="1"/>
  <c r="F859" i="8"/>
  <c r="F854" i="8"/>
  <c r="F847" i="8"/>
  <c r="F848" i="8"/>
  <c r="F849" i="8"/>
  <c r="F844" i="8"/>
  <c r="F843" i="8"/>
  <c r="F840" i="8"/>
  <c r="F835" i="8"/>
  <c r="C834" i="8"/>
  <c r="F834" i="8" s="1"/>
  <c r="C836" i="8"/>
  <c r="F836" i="8" s="1"/>
  <c r="F829" i="8"/>
  <c r="F828" i="8"/>
  <c r="F824" i="8"/>
  <c r="F813" i="8"/>
  <c r="F810" i="8"/>
  <c r="F805" i="8"/>
  <c r="F801" i="8"/>
  <c r="F797" i="8"/>
  <c r="F780" i="8"/>
  <c r="F777" i="8"/>
  <c r="F793" i="8"/>
  <c r="F789" i="8"/>
  <c r="F784" i="8"/>
  <c r="C769" i="8"/>
  <c r="F761" i="8"/>
  <c r="F760" i="8"/>
  <c r="F757" i="8"/>
  <c r="F753" i="8"/>
  <c r="F749" i="8"/>
  <c r="F746" i="8"/>
  <c r="C743" i="8"/>
  <c r="F743" i="8" s="1"/>
  <c r="C739" i="8"/>
  <c r="F739" i="8" s="1"/>
  <c r="F736" i="8"/>
  <c r="F707" i="8"/>
  <c r="F732" i="8"/>
  <c r="F724" i="8"/>
  <c r="F720" i="8"/>
  <c r="F717" i="8"/>
  <c r="C714" i="8"/>
  <c r="F714" i="8" s="1"/>
  <c r="C710" i="8"/>
  <c r="F710" i="8" s="1"/>
  <c r="F703" i="8"/>
  <c r="F769" i="8" l="1"/>
  <c r="C774" i="8"/>
  <c r="F695" i="8"/>
  <c r="F697" i="8" s="1"/>
  <c r="C27" i="1" s="1"/>
  <c r="F1024" i="8"/>
  <c r="F916" i="8"/>
  <c r="F963" i="8"/>
  <c r="F940" i="8"/>
  <c r="F930" i="8"/>
  <c r="F984" i="8"/>
  <c r="F993" i="8"/>
  <c r="F727" i="8"/>
  <c r="F764" i="8"/>
  <c r="F1009" i="8"/>
  <c r="C864" i="8"/>
  <c r="F864" i="8" s="1"/>
  <c r="F868" i="8" s="1"/>
  <c r="F877" i="8" s="1"/>
  <c r="C29" i="1" s="1"/>
  <c r="F774" i="8"/>
  <c r="F816" i="8" s="1"/>
  <c r="F1033" i="8" l="1"/>
  <c r="F818" i="8"/>
  <c r="C28" i="1" s="1"/>
  <c r="F668" i="8"/>
  <c r="F664" i="8" l="1"/>
  <c r="F660" i="8"/>
  <c r="F656" i="8"/>
  <c r="F653" i="8"/>
  <c r="F652" i="8"/>
  <c r="C648" i="8"/>
  <c r="F648" i="8" s="1"/>
  <c r="C640" i="8"/>
  <c r="C644" i="8" s="1"/>
  <c r="F113" i="8"/>
  <c r="F110" i="8"/>
  <c r="F107" i="8"/>
  <c r="F633" i="8"/>
  <c r="F632" i="8"/>
  <c r="C625" i="8"/>
  <c r="F625" i="8" s="1"/>
  <c r="F631" i="8"/>
  <c r="F628" i="8"/>
  <c r="F597" i="8"/>
  <c r="F593" i="8"/>
  <c r="F589" i="8"/>
  <c r="F585" i="8"/>
  <c r="F581" i="8"/>
  <c r="F577" i="8"/>
  <c r="F573" i="8"/>
  <c r="F546" i="8"/>
  <c r="F545" i="8"/>
  <c r="F544" i="8"/>
  <c r="F541" i="8"/>
  <c r="F538" i="8"/>
  <c r="F537" i="8"/>
  <c r="F534" i="8"/>
  <c r="F533" i="8"/>
  <c r="F522" i="8"/>
  <c r="F519" i="8"/>
  <c r="F514" i="8"/>
  <c r="F515" i="8"/>
  <c r="F506" i="8"/>
  <c r="F509" i="8" s="1"/>
  <c r="F495" i="8"/>
  <c r="F498" i="8" s="1"/>
  <c r="F487" i="8"/>
  <c r="F485" i="8"/>
  <c r="F474" i="8"/>
  <c r="F471" i="8"/>
  <c r="F470" i="8"/>
  <c r="F466" i="8"/>
  <c r="F447" i="8"/>
  <c r="F450" i="8" s="1"/>
  <c r="F439" i="8"/>
  <c r="F442" i="8" s="1"/>
  <c r="F431" i="8"/>
  <c r="F427" i="8"/>
  <c r="F419" i="8"/>
  <c r="F422" i="8" s="1"/>
  <c r="F407" i="8"/>
  <c r="F408" i="8"/>
  <c r="F409" i="8"/>
  <c r="F396" i="8"/>
  <c r="F392" i="8"/>
  <c r="C302" i="8"/>
  <c r="F381" i="8"/>
  <c r="F380" i="8"/>
  <c r="F377" i="8"/>
  <c r="F376" i="8"/>
  <c r="F375" i="8"/>
  <c r="F374" i="8"/>
  <c r="F373" i="8"/>
  <c r="F372" i="8"/>
  <c r="F371" i="8"/>
  <c r="F370" i="8"/>
  <c r="F369" i="8"/>
  <c r="F368" i="8"/>
  <c r="F358" i="8"/>
  <c r="F359" i="8"/>
  <c r="F360" i="8"/>
  <c r="F361" i="8"/>
  <c r="F362" i="8"/>
  <c r="F363" i="8"/>
  <c r="F364" i="8"/>
  <c r="F365" i="8"/>
  <c r="F357" i="8"/>
  <c r="F356" i="8"/>
  <c r="F353" i="8"/>
  <c r="F352" i="8"/>
  <c r="F351" i="8"/>
  <c r="F350" i="8"/>
  <c r="F349" i="8"/>
  <c r="F348" i="8"/>
  <c r="F347" i="8"/>
  <c r="F346" i="8"/>
  <c r="F345" i="8"/>
  <c r="C325" i="8"/>
  <c r="F325" i="8" s="1"/>
  <c r="F342" i="8"/>
  <c r="F341" i="8"/>
  <c r="F340" i="8"/>
  <c r="F339" i="8"/>
  <c r="F338" i="8"/>
  <c r="F337" i="8"/>
  <c r="F336" i="8"/>
  <c r="F335" i="8"/>
  <c r="F330" i="8"/>
  <c r="F332" i="8"/>
  <c r="F331" i="8"/>
  <c r="F329" i="8"/>
  <c r="F328" i="8"/>
  <c r="F327" i="8"/>
  <c r="F326" i="8"/>
  <c r="F324" i="8"/>
  <c r="F323" i="8"/>
  <c r="F636" i="8" l="1"/>
  <c r="F525" i="8"/>
  <c r="F527" i="8" s="1"/>
  <c r="C24" i="1" s="1"/>
  <c r="F399" i="8"/>
  <c r="F401" i="8" s="1"/>
  <c r="C19" i="1" s="1"/>
  <c r="F549" i="8"/>
  <c r="F603" i="8"/>
  <c r="F490" i="8"/>
  <c r="F500" i="8" s="1"/>
  <c r="C23" i="1" s="1"/>
  <c r="F477" i="8"/>
  <c r="F479" i="8" s="1"/>
  <c r="C22" i="1" s="1"/>
  <c r="F434" i="8"/>
  <c r="F460" i="8" s="1"/>
  <c r="C21" i="1" s="1"/>
  <c r="F411" i="8"/>
  <c r="F413" i="8" s="1"/>
  <c r="C20" i="1" s="1"/>
  <c r="F384" i="8"/>
  <c r="F644" i="8"/>
  <c r="F640" i="8"/>
  <c r="F116" i="8"/>
  <c r="F671" i="8" l="1"/>
  <c r="F673" i="8" s="1"/>
  <c r="C26" i="1" s="1"/>
  <c r="F619" i="8"/>
  <c r="C25" i="1" s="1"/>
  <c r="F122" i="8"/>
  <c r="F311" i="8"/>
  <c r="F302" i="8"/>
  <c r="F315" i="8"/>
  <c r="F306" i="8" l="1"/>
  <c r="F318" i="8" s="1"/>
  <c r="F293" i="8" l="1"/>
  <c r="F296" i="8" s="1"/>
  <c r="F285" i="8"/>
  <c r="F288" i="8" s="1"/>
  <c r="F274" i="8"/>
  <c r="F277" i="8" s="1"/>
  <c r="F279" i="8" s="1"/>
  <c r="C17" i="1" s="1"/>
  <c r="F263" i="8"/>
  <c r="F262" i="8"/>
  <c r="F261" i="8"/>
  <c r="F253" i="8"/>
  <c r="F251" i="8"/>
  <c r="F256" i="8" s="1"/>
  <c r="F239" i="8"/>
  <c r="F240" i="8"/>
  <c r="F237" i="8"/>
  <c r="F223" i="8"/>
  <c r="F226" i="8"/>
  <c r="F215" i="8"/>
  <c r="F211" i="8"/>
  <c r="F200" i="8"/>
  <c r="F203" i="8" s="1"/>
  <c r="F205" i="8" s="1"/>
  <c r="C13" i="1" s="1"/>
  <c r="F186" i="8"/>
  <c r="F189" i="8"/>
  <c r="F183" i="8"/>
  <c r="F175" i="8"/>
  <c r="F172" i="8"/>
  <c r="F128" i="8"/>
  <c r="F129" i="8"/>
  <c r="F127" i="8"/>
  <c r="F79" i="8"/>
  <c r="F88" i="8"/>
  <c r="F91" i="8" s="1"/>
  <c r="F132" i="8" l="1"/>
  <c r="F141" i="8" s="1"/>
  <c r="C10" i="1" s="1"/>
  <c r="F229" i="8"/>
  <c r="F243" i="8"/>
  <c r="F245" i="8" s="1"/>
  <c r="C15" i="1" s="1"/>
  <c r="F386" i="8"/>
  <c r="C18" i="1" s="1"/>
  <c r="F266" i="8"/>
  <c r="F268" i="8" s="1"/>
  <c r="C16" i="1" s="1"/>
  <c r="F178" i="8"/>
  <c r="F218" i="8"/>
  <c r="F192" i="8"/>
  <c r="F231" i="8" l="1"/>
  <c r="C14" i="1" s="1"/>
  <c r="F194" i="8"/>
  <c r="C12" i="1" s="1"/>
  <c r="F21" i="8"/>
  <c r="F54" i="8"/>
  <c r="F51" i="8"/>
  <c r="F43" i="8"/>
  <c r="F39" i="8"/>
  <c r="F24" i="8"/>
  <c r="F61" i="8"/>
  <c r="F69" i="8"/>
  <c r="F71" i="8"/>
  <c r="F75" i="8"/>
  <c r="F80" i="8"/>
  <c r="F96" i="8"/>
  <c r="F99" i="8" s="1"/>
  <c r="F83" i="8" l="1"/>
  <c r="F31" i="8"/>
  <c r="F33" i="8" s="1"/>
  <c r="C8" i="1" s="1"/>
  <c r="F46" i="8"/>
  <c r="F56" i="8"/>
  <c r="F10" i="8"/>
  <c r="A2" i="8"/>
  <c r="A1" i="8"/>
  <c r="F101" i="8" l="1"/>
  <c r="C9" i="1" s="1"/>
  <c r="F13" i="8"/>
  <c r="F15" i="8" s="1"/>
  <c r="C7" i="1" s="1"/>
  <c r="C32" i="1" s="1"/>
</calcChain>
</file>

<file path=xl/sharedStrings.xml><?xml version="1.0" encoding="utf-8"?>
<sst xmlns="http://schemas.openxmlformats.org/spreadsheetml/2006/main" count="2736" uniqueCount="1407">
  <si>
    <t>Quantity</t>
  </si>
  <si>
    <t>m</t>
  </si>
  <si>
    <t>Project Total</t>
  </si>
  <si>
    <t>Nr</t>
  </si>
  <si>
    <t>Ref</t>
  </si>
  <si>
    <t>Unit</t>
  </si>
  <si>
    <t>Value</t>
  </si>
  <si>
    <t>Sub Total</t>
  </si>
  <si>
    <t>Description</t>
  </si>
  <si>
    <t/>
  </si>
  <si>
    <t>Rate</t>
  </si>
  <si>
    <t>N/A</t>
  </si>
  <si>
    <t>Not Included</t>
  </si>
  <si>
    <t xml:space="preserve">Drawing Information </t>
  </si>
  <si>
    <t>Included</t>
  </si>
  <si>
    <t>Mortar</t>
  </si>
  <si>
    <t>Drawings Used in Tender</t>
  </si>
  <si>
    <t>Rev</t>
  </si>
  <si>
    <t xml:space="preserve">Empire Construction Ltd </t>
  </si>
  <si>
    <t>Langdon Road, Kings Dock SA1 8QY</t>
  </si>
  <si>
    <t>All drawings to be provided by Empire Construction as confirmed by the client. Tender price submitted based on tender pack drawings.</t>
  </si>
  <si>
    <t>For and on behalf of Empire Construction</t>
  </si>
  <si>
    <t>Empire Construction - SA1 Landon Road</t>
  </si>
  <si>
    <t>Sundries</t>
  </si>
  <si>
    <t>Sophie Morgan</t>
  </si>
  <si>
    <t>Precast/Composite Concrete</t>
  </si>
  <si>
    <t>12.1</t>
  </si>
  <si>
    <t>12.1.1</t>
  </si>
  <si>
    <t>Prestressed precast concrete structural suspended floors; Bison Hollowcore or other equal; supplied and fixed on hard level bearings, to areas of 500 m2 per site visit; top surface screeding; superimposed load of 5.00 kN/m2</t>
  </si>
  <si>
    <t>13</t>
  </si>
  <si>
    <t>Precast Concrete</t>
  </si>
  <si>
    <t>13.1</t>
  </si>
  <si>
    <t>Precast Concrete Goods</t>
  </si>
  <si>
    <t>13.1.1</t>
  </si>
  <si>
    <t>Contractor designed precast concrete staircases and landings; including all associated steel supports and fixing in position</t>
  </si>
  <si>
    <t>Straight staircases; 280 mm treads; 170 mm undercut risers</t>
  </si>
  <si>
    <t>3450 mm wide; 3750 mm rise</t>
  </si>
  <si>
    <t>Dogleg staircases</t>
  </si>
  <si>
    <t>13.1.1.1</t>
  </si>
  <si>
    <t>13.1.1.2</t>
  </si>
  <si>
    <t>1200 mm wide; one full width half landing; 3750 mm rise</t>
  </si>
  <si>
    <t>12.1.1.1</t>
  </si>
  <si>
    <t>14</t>
  </si>
  <si>
    <t>Masonry</t>
  </si>
  <si>
    <t>Brick Walling</t>
  </si>
  <si>
    <t>14.1.1</t>
  </si>
  <si>
    <t>14.1.1.1</t>
  </si>
  <si>
    <t>Facing bricks; machine-made facings; in gauged mortar (1:1:6)</t>
  </si>
  <si>
    <t>14.1.2</t>
  </si>
  <si>
    <t>Walls; in gauged mortar (1:1:6)</t>
  </si>
  <si>
    <t>14.1.2.1</t>
  </si>
  <si>
    <t>Air bricks</t>
  </si>
  <si>
    <t>Air bricks; red terracotta; building into prepared openings</t>
  </si>
  <si>
    <t>215 mm × 65 mm</t>
  </si>
  <si>
    <t>Block Walling</t>
  </si>
  <si>
    <t>14.2.1</t>
  </si>
  <si>
    <t>m²</t>
  </si>
  <si>
    <t>14.2.1.1</t>
  </si>
  <si>
    <t>Dense aggregate concrete blocks; in cement mortar (1:2:9)</t>
  </si>
  <si>
    <t>Walls or partitions or skins of hollow walls</t>
  </si>
  <si>
    <t>100 mm thick; solid</t>
  </si>
  <si>
    <t>Bonding ends to common brickwork</t>
  </si>
  <si>
    <t>14.2.1.2</t>
  </si>
  <si>
    <t>100 mm thick solid</t>
  </si>
  <si>
    <t>Forming Cavities</t>
  </si>
  <si>
    <t>Forming cavities</t>
  </si>
  <si>
    <t>14.7.1</t>
  </si>
  <si>
    <t>In hollow walls</t>
  </si>
  <si>
    <t>14.7.1.1</t>
  </si>
  <si>
    <t>14.7.2</t>
  </si>
  <si>
    <t>Weep holes</t>
  </si>
  <si>
    <t>14.7.2.1</t>
  </si>
  <si>
    <t>External door and window cavity closures</t>
  </si>
  <si>
    <t>14.7.3</t>
  </si>
  <si>
    <t>Thermabate or equivalent; inclusive of flange clips; jointing strips; wall fixing ties and adhesive tape</t>
  </si>
  <si>
    <t>14.7.3.1</t>
  </si>
  <si>
    <t>Galvanized steel lintels; Catnic or other equal; built into brickwork or blockwork</t>
  </si>
  <si>
    <t>14.7.4</t>
  </si>
  <si>
    <t>70/100 range open back lintel for cavity wall; 70 mm– 85 mm cavity wall</t>
  </si>
  <si>
    <t>2400 mm long</t>
  </si>
  <si>
    <t>14.7.4.1</t>
  </si>
  <si>
    <t>Joints</t>
  </si>
  <si>
    <t>14.11.1</t>
  </si>
  <si>
    <t>14.11.1.1</t>
  </si>
  <si>
    <t xml:space="preserve">Framed Members, Framing, Fabrication </t>
  </si>
  <si>
    <t>Framing, fabrication; weldable steel; BS EN 10025: 2004 Grade S275; hot rolled structural steel sections; welded fabrication</t>
  </si>
  <si>
    <t>15.1.1</t>
  </si>
  <si>
    <t>Fittings</t>
  </si>
  <si>
    <t>Framing, erection</t>
  </si>
  <si>
    <t>Joint Reinforcement</t>
  </si>
  <si>
    <t>14.9.1</t>
  </si>
  <si>
    <t xml:space="preserve">Joint Reinforcement </t>
  </si>
  <si>
    <t>Brickforce galvanized steel joint reinforcement or other equal and approved</t>
  </si>
  <si>
    <t>14.9.1.1</t>
  </si>
  <si>
    <t>1800mm long</t>
  </si>
  <si>
    <t>15.1.2</t>
  </si>
  <si>
    <t>Surface Treatments</t>
  </si>
  <si>
    <t>Surface treatment</t>
  </si>
  <si>
    <t>At works</t>
  </si>
  <si>
    <t>15.5.1</t>
  </si>
  <si>
    <t>15.5.1.1</t>
  </si>
  <si>
    <t>15.5.1.2</t>
  </si>
  <si>
    <t>15.5.1.3</t>
  </si>
  <si>
    <t>17</t>
  </si>
  <si>
    <t xml:space="preserve">15 </t>
  </si>
  <si>
    <t>Structural Metalwork</t>
  </si>
  <si>
    <t>Sheet Roof Coverings</t>
  </si>
  <si>
    <t>Landscape roofing</t>
  </si>
  <si>
    <t>SarnaVert extensive biodiverse roof; sedum blanket; 100 mm growing medium; aquafrain; 1.5 mm thick membrane; 120 mm thick insulation board; vapour control layer</t>
  </si>
  <si>
    <t>Single Layer Plastic Roof Coverings</t>
  </si>
  <si>
    <t>17.3.1</t>
  </si>
  <si>
    <t>Kerb and eaves; standard Sarnafil details</t>
  </si>
  <si>
    <t>Sarnafil kerb; 150 mm above roof level</t>
  </si>
  <si>
    <t>Aluminium Sheet Coverings/Flashing</t>
  </si>
  <si>
    <t>Standing seam aluminium roofing</t>
  </si>
  <si>
    <t>17.6.1</t>
  </si>
  <si>
    <t>Kalzip; 65 mm seam, 400 cover width, Ref BS AW 3004 standard natural aluminium, stucco embossed finish, 0.9 mm thick; ST clips fixed with stainless steel fasteners; 37 Plus 180 mm Glassfibre Insulation compressed to 165 mm (0.25 U-value); vapour control layer, clear reinforced polyethelyne 530 MNs/g all laps sealed; Liner Sheets, profiled steel, 1000 mm cover width, bright white polyester paint finish Ref TR35/200S, 0.7 mm thick, fixed with stainless steel fasteners.</t>
  </si>
  <si>
    <t>17.6.1.1</t>
  </si>
  <si>
    <t>Eaves details</t>
  </si>
  <si>
    <t>40 × 20 mm extruded aluminium drip angle fixed to Kalzip sheet using aluminium blind sealed rivets; black solid rubber eaves filler blocks; ST clips fixed with stainless steel fasteners</t>
  </si>
  <si>
    <t>17.6.1.2</t>
  </si>
  <si>
    <t>Waterproofing</t>
  </si>
  <si>
    <t>Specialist Waterproofing Rendering</t>
  </si>
  <si>
    <t>K-Rend render or similar through-colour render system</t>
  </si>
  <si>
    <t>19.5.1</t>
  </si>
  <si>
    <t>18 mm thick work to walls; two coats; to brickwork or blockwork base; first coat 8 mm standard base coat; second coat 10 mm K-rend silicone WP/FT</t>
  </si>
  <si>
    <t>19.5.1.1</t>
  </si>
  <si>
    <t>Proprietary Linings and Partitions</t>
  </si>
  <si>
    <t>Partitions and Walls</t>
  </si>
  <si>
    <t>Gyproc metal stud proprietary partitions or other equal; metal Gypframe C studs at 600 mm centres; floor and ceiling channels</t>
  </si>
  <si>
    <t>20.1.1</t>
  </si>
  <si>
    <t>20.1.1.1</t>
  </si>
  <si>
    <t>Cavity insulation to stud partitions pinned to board</t>
  </si>
  <si>
    <t>20.1.2</t>
  </si>
  <si>
    <t>20.1.2.1</t>
  </si>
  <si>
    <t>50 mm Isover APR</t>
  </si>
  <si>
    <t>Lining to Walls</t>
  </si>
  <si>
    <t>Gyproc SoundBloc tapered edge plasterboard with higher density core; fixing on dabs or with nails; joints filled with joint filler and joint tape to receive direct decoration; to softwood base</t>
  </si>
  <si>
    <t>20.2.1</t>
  </si>
  <si>
    <t>15.00 mm board to ceilings</t>
  </si>
  <si>
    <t>20.2.1.1</t>
  </si>
  <si>
    <t>15.00 mm board to reveals and soffits of openings and recesses</t>
  </si>
  <si>
    <t>20.2.1.2</t>
  </si>
  <si>
    <t>not exceeding 300 mm wide</t>
  </si>
  <si>
    <t>Cladding and Covering</t>
  </si>
  <si>
    <t>Curtain Walling and Glazed Roofing</t>
  </si>
  <si>
    <t>Unitized curtain walling system; proprietary solution from system supplier e.g. Schuco or equivalent alternatively pre-designed system solution from specialist facade contractor</t>
  </si>
  <si>
    <t>Polyester powder coated solid colour matt finish or natural anodized curtain walling Element widths of 1.5 m spanning typical storey height of 3.8 m. Floor to ceiling glass sealed units with 8.8 mm low-e coated laminated inner pane, air filled cavity and 8 mm monolithic heat strengthed outer pane, retained by external beading system. Rates include 1.1 m solid spandrel panels, all brackets, membranes, fire stopping between floors, trade contractor preliminaries, including external access equipment</t>
  </si>
  <si>
    <t>Extra over for</t>
  </si>
  <si>
    <t>12.1.1.2</t>
  </si>
  <si>
    <t>12.1.1.3</t>
  </si>
  <si>
    <t>General Joinery</t>
  </si>
  <si>
    <t>Hardwood</t>
  </si>
  <si>
    <t>Selected Sapele</t>
  </si>
  <si>
    <t>22.2.1</t>
  </si>
  <si>
    <t>Skirtings, picture rails, dado rails and the like; splayed or moulded</t>
  </si>
  <si>
    <t>25 mm × 69 mm; splayed</t>
  </si>
  <si>
    <t>22.2.1.1</t>
  </si>
  <si>
    <t>Architraves, cover fillets and the like; half round; splayed or moulded</t>
  </si>
  <si>
    <t>22.2.1.2</t>
  </si>
  <si>
    <t>Framed Panel Cubicle Partitions</t>
  </si>
  <si>
    <t>Toilet cubicle partitions and IPS systems; Amwells or other equal and approved; standard colours and ironmongery; assembling and screwing to floor and wall</t>
  </si>
  <si>
    <t>22.4.1</t>
  </si>
  <si>
    <t>Splash SGL cubic system for heavy use environments like schools, swimming pools and prisons; standard cubicle set; 800 mm × 1500 mm × 1980 mm high per cubicle, with polished aluminium framing; 19 mm melamine-faced chipboard divisions and doors</t>
  </si>
  <si>
    <t>22.4.1.1</t>
  </si>
  <si>
    <t>22.4.1.2</t>
  </si>
  <si>
    <t>22.4.1.3</t>
  </si>
  <si>
    <t>Windows, Screens and Lights</t>
  </si>
  <si>
    <t>Windows</t>
  </si>
  <si>
    <t>Aluminium windows; Schuco AWS 50 (or similar) proprietary system or equal and approved</t>
  </si>
  <si>
    <t>23.1.1</t>
  </si>
  <si>
    <t>Polyester powder coated solid colour matt finish or natural anodized window system of glass sealed units with 6.4 mm low-e coated laminated inner pane, air filled cavity and 6 mm clear annealed outer pane. Rates to include all brackets, membranes, cills, silicone seals, trade contractor preliminaries, including external access equipment</t>
  </si>
  <si>
    <t>23.1.1.1</t>
  </si>
  <si>
    <t>Doors, Shutters and Hatches</t>
  </si>
  <si>
    <t>External Doors and Frames</t>
  </si>
  <si>
    <t>Fire doors</t>
  </si>
  <si>
    <t>24.1.1</t>
  </si>
  <si>
    <t xml:space="preserve">Flush door; half-hour fire-resisting; external quality; skeleton or cellular core; plywood faced both sides; lipped on all four edges </t>
  </si>
  <si>
    <t>24.1.1.1</t>
  </si>
  <si>
    <t>1840 mm × 2075 mm × 44 mm</t>
  </si>
  <si>
    <t>Sliding Door Entrances</t>
  </si>
  <si>
    <t>Sliding door entrances (including doors and screens)</t>
  </si>
  <si>
    <t>24.3.1</t>
  </si>
  <si>
    <t>Automatic Sliding Door EN1627: RC2 Anti-Burglar Security Entrance System. ASSA ABLOY SL510 P RC2 Anti-Burglar Sliding Door System complete with 100 mm operator providing automated operation of the sliding door leaves. RAL powder coated or anodized with insulated P4 A security glass. Providing full retraction of the doors to maximize the clear open width. Operator should optimize hold open time in relation to changing traffic flow. The door should change opening width in relation to changing traffic flow. The timeframe for change should be flexible and possible to program. The electromechanical lock must block all active door leaves separately. Third Party Verified system EPDs to be a demand. System including normal installation to comply with BS7036–0-2014 / BS-EN16005, complete with the installer’s Declaration of Conformity in accordance with Machinery Regulations</t>
  </si>
  <si>
    <t>ASSA ABLOY SL510 P EN1627: RC2 4P; Double Bi-Parting Door Leaves with Two Sidescreens and 100 mm Operator with Pocket Safety Screens 4000 mm wide × 2300 mm high</t>
  </si>
  <si>
    <t>24.3.1.1</t>
  </si>
  <si>
    <t>Internal Doors and Frames</t>
  </si>
  <si>
    <t>Door Frames and Linings</t>
  </si>
  <si>
    <t>FIRE DOORS</t>
  </si>
  <si>
    <t>24.6.1</t>
  </si>
  <si>
    <t>Flush door; half-hour fire-resisting (FD30); White Oak veneer; hardwood lipping all edges; Premdor Fireshield or other equal and approved;</t>
  </si>
  <si>
    <t>826 mm × 2040 mm × 44 mm; two side vision
panels 150 mm × 775 mm and 150 mm × 700 mm;
factory fitted clear fire-rated glass</t>
  </si>
  <si>
    <t>24.6.1.1</t>
  </si>
  <si>
    <t>Fire-resisting door frame; internal and external; fitted with 15 mm × 4 mm intumescent strips; 12 mm deep rebates; screwed to masonry/ concrete</t>
  </si>
  <si>
    <t>Hardwood frames; no sill – open in or out. Door size:</t>
  </si>
  <si>
    <t>24.6.2</t>
  </si>
  <si>
    <t>24.6.2.1</t>
  </si>
  <si>
    <t>24.6.3</t>
  </si>
  <si>
    <t>24.6.3.1</t>
  </si>
  <si>
    <t>Associated Ironmongery</t>
  </si>
  <si>
    <t>Allgood Ltd or other equal; to hardwood</t>
  </si>
  <si>
    <t>24.7.1</t>
  </si>
  <si>
    <t>24.7.1.1</t>
  </si>
  <si>
    <t>INTERNAL DOORS</t>
  </si>
  <si>
    <t>Doors; standard flush; softwood composition</t>
  </si>
  <si>
    <t>Moulded panel doors; white based coated facings suitable for paint finish only; two, four or six panel options</t>
  </si>
  <si>
    <t>826 mm × 2040 mm × 40 mm</t>
  </si>
  <si>
    <t>Door frames and door linings, sets; purposemade; wrought softwood</t>
  </si>
  <si>
    <t>Jambs and heads; as frames; rebated, rounded and grooved</t>
  </si>
  <si>
    <t>44 mm × 75 mm</t>
  </si>
  <si>
    <t>24.6.4</t>
  </si>
  <si>
    <t>24.6.4.1</t>
  </si>
  <si>
    <t>24.7.1.2</t>
  </si>
  <si>
    <t>24.7.1.3</t>
  </si>
  <si>
    <t>330 × 76 × 1.6 mm stainless steel push plate</t>
  </si>
  <si>
    <t>800 × 150 × 1.5 mm Stainless steel kicking plate, drilled and countersunk with screws</t>
  </si>
  <si>
    <t>24.7.1.4</t>
  </si>
  <si>
    <t>400 × 19 mm Ø Stainless steel D line straight pull handle with M8 threaded holes, fixing centres 300 mm</t>
  </si>
  <si>
    <t>24.7.1.5</t>
  </si>
  <si>
    <t>24.7.1.6</t>
  </si>
  <si>
    <t>24.7.1.7</t>
  </si>
  <si>
    <t>76 × 58 mm b/s Stainless steel cubicle mortice deadlock with 8 mm follower</t>
  </si>
  <si>
    <t>24.7.1.8</t>
  </si>
  <si>
    <t>24.7.1.9</t>
  </si>
  <si>
    <t>76 mm Ø Modric anodized aluminium circular sex symbol male</t>
  </si>
  <si>
    <t>24.7.1.10</t>
  </si>
  <si>
    <t>76 mm Ø Modric anodized aluminium circular sex symbol female</t>
  </si>
  <si>
    <t>76 mm Ø Modric anodized aluminium circular symbol fire door keep shut</t>
  </si>
  <si>
    <t>UNION DS100 Floor Mounted Door Stop, half moon design, 45 mm dia. × 24 mm high, satin stainless steel</t>
  </si>
  <si>
    <t>Classroom doorset (fire-rated)</t>
  </si>
  <si>
    <t>UNION PowerLOAD 603 bushed bearing butt hinges (1.5 pair) with a fixed in and radius corners, 100 mm × 88 mm, satin stainless steel, grade 13 BS EN 1935</t>
  </si>
  <si>
    <t>ASSA ABLOY DC700 A overhead cam motion backcheck closure with slide arm size 2–6. Full cover standard silver</t>
  </si>
  <si>
    <t>UNION keyULTRA euro profile key and turn cylinder, turn/key, 35 mm/35 mm, satin chrome, BS EN 1303 Security Grade 2 when fitted with security escutcheon (sold seperately)</t>
  </si>
  <si>
    <t>Union 2S21 euro-profile sashlock, 72 mm centresm, 55 mm backset, satin stainless steel, Grade 3 category of use</t>
  </si>
  <si>
    <t>Union 1000 01 style, 19 mm dia. lever on 8 mm round rose, sprung, satin stainless steel grade 304, bolt through connections</t>
  </si>
  <si>
    <t xml:space="preserve">Maintenance/Plant room doorset </t>
  </si>
  <si>
    <t>1½ pairs Union Powerload 603 brushed bearing butt hinge with a fixed pin; 100 mm × 88 mm; satin stainless steel grade 13 BS EN 1935</t>
  </si>
  <si>
    <t>UNION 2C22 DIN euro-profile deadlock, 55 mm backset, satin stainless steel, radius forend, Grade 3 Category of Use, BS EN 12209, CE marked</t>
  </si>
  <si>
    <t>UNION keyULTRA euro profile single cylinder, 35 mm/35 mm, satin chrome, BS EN 1303 Security Grade 2 when fitted with security escutcheon</t>
  </si>
  <si>
    <t>Kick Plate 900 mm × 150 mm, satin stainless steel softened &amp; finished edges With Radius Corner</t>
  </si>
  <si>
    <t>Euro Rim Cylinder Pull, stainless steel</t>
  </si>
  <si>
    <t>UNION 1000EE Euro Escutcheon, 54 mm dia. × 8 mm projection, satin stainless steel</t>
  </si>
  <si>
    <t>UNION DS100 Floor Mounted Door Stop, half moon design, 45 mm Dia. × 24 mm high, satin stainless steel</t>
  </si>
  <si>
    <t>Accessible toilet doorset</t>
  </si>
  <si>
    <t>1½ pairs Union Powerload 603 brushed bearing butt hinge with a fixed pin; 100 mm × 88 mm; satin stainless steel Grade 13 BS EN 1935</t>
  </si>
  <si>
    <t>UNION 2C27 DIN bathroom lock, 78 mm centres, 55 mm backset, satin stainless steel, radius forend, Grade 3 Category of Use, BS EN 12209, CE marked</t>
  </si>
  <si>
    <t>Kick plates 900 mm × 150 mm, stainless steel</t>
  </si>
  <si>
    <t>UNION WS200 Disabled Symbol, 75 mm dia., satin stainless steel, Grade 304</t>
  </si>
  <si>
    <t>UNION 1000ER emergency release, 54 mm dia. × 8 mm projection, satin stainless steel</t>
  </si>
  <si>
    <t>UNION 1000LT Large Turn, 54 mm dia. × 8 mm projection, satin stainless steel</t>
  </si>
  <si>
    <t>UNION HC100 hat &amp; coat hook with a buffer, satin stainless steel</t>
  </si>
  <si>
    <t>External rebated double fire escape doorset</t>
  </si>
  <si>
    <t>UNION PowerLOAD 603 bushed bearing butt hinges (1.5 pair) with a fixed pin and radius corners, 100 mm × 88 mm, satin stainless steel, Grade 13 BS EN 1935</t>
  </si>
  <si>
    <t>UNION satin stainless steel, Ball Bearing Dog Bolt Hinge</t>
  </si>
  <si>
    <t>UNION 883T panic exit double rebated doorset, 3 point locking with pullman latches, touch bar design, 900 mm maximum door width, silver, EN1125, CE marked</t>
  </si>
  <si>
    <t>UNION 885 outside access device (OAD), lever handle to suit 880 series only, silver, uses a UNION 2X50 5 pin euro profile cylinder to be ordered separately</t>
  </si>
  <si>
    <t>Generic door door limiting stays</t>
  </si>
  <si>
    <t>Kick Plate 900 mm × 150 mm, satin stainless steel softened &amp; finished edges with radius corners</t>
  </si>
  <si>
    <t>‘Fire Door Keep Shut’ 75 mm dia. sign, satin stainless steel</t>
  </si>
  <si>
    <t>SP(102)FA1201 – Aluminium</t>
  </si>
  <si>
    <t>Standard bathroom doorset</t>
  </si>
  <si>
    <t>UNION 1000T standard turn, 54 mm dia. × 8 mm projection, satin stainless steel</t>
  </si>
  <si>
    <t>Internal toilet lobby doorset (non fire-rated)</t>
  </si>
  <si>
    <t>Stairs, Walkways and Balustrades</t>
  </si>
  <si>
    <t>Balustrades</t>
  </si>
  <si>
    <t>24.7.2</t>
  </si>
  <si>
    <t>24.7.2.1</t>
  </si>
  <si>
    <t>24.7.2.2</t>
  </si>
  <si>
    <t>24.7.2.3</t>
  </si>
  <si>
    <t>24.7.2.4</t>
  </si>
  <si>
    <t>24.7.2.5</t>
  </si>
  <si>
    <t>24.7.2.6</t>
  </si>
  <si>
    <t>24.7.2.7</t>
  </si>
  <si>
    <t>24.7.2.8</t>
  </si>
  <si>
    <t>24.7.3</t>
  </si>
  <si>
    <t>24.7.3.1</t>
  </si>
  <si>
    <t>24.7.3.2</t>
  </si>
  <si>
    <t>24.7.3.3</t>
  </si>
  <si>
    <t>24.7.3.4</t>
  </si>
  <si>
    <t>24.7.3.5</t>
  </si>
  <si>
    <t>24.7.3.6</t>
  </si>
  <si>
    <t>24.7.3.7</t>
  </si>
  <si>
    <t>24.7.3.8</t>
  </si>
  <si>
    <t>24.7.3.9</t>
  </si>
  <si>
    <t>24.7.4</t>
  </si>
  <si>
    <t>24.7.4.1</t>
  </si>
  <si>
    <t>24.7.4.2</t>
  </si>
  <si>
    <t>24.7.4.3</t>
  </si>
  <si>
    <t>24.7.4.4</t>
  </si>
  <si>
    <t>24.7.4.5</t>
  </si>
  <si>
    <t>24.7.4.6</t>
  </si>
  <si>
    <t>24.7.4.7</t>
  </si>
  <si>
    <t>24.7.4.8</t>
  </si>
  <si>
    <t>24.7.4.9</t>
  </si>
  <si>
    <t>24.7.4.10</t>
  </si>
  <si>
    <t>24.7.5</t>
  </si>
  <si>
    <t>24.7.5.1</t>
  </si>
  <si>
    <t>24.7.5.2</t>
  </si>
  <si>
    <t>24.7.5.3</t>
  </si>
  <si>
    <t>24.7.5.4</t>
  </si>
  <si>
    <t>24.7.5.5</t>
  </si>
  <si>
    <t>24.7.5.6</t>
  </si>
  <si>
    <t>24.7.5.7</t>
  </si>
  <si>
    <t>24.7.5.8</t>
  </si>
  <si>
    <t>24.7.5.9</t>
  </si>
  <si>
    <t>24.7.5.10</t>
  </si>
  <si>
    <t>24.7.6</t>
  </si>
  <si>
    <t>24.7.6.1</t>
  </si>
  <si>
    <t>24.7.6.2</t>
  </si>
  <si>
    <t>25.3.1</t>
  </si>
  <si>
    <t>Glass</t>
  </si>
  <si>
    <t>Balustrades; laminated glass; with stainless steel cap channel to top and including all necessary support fixings</t>
  </si>
  <si>
    <t>1100 mm high</t>
  </si>
  <si>
    <t>25.3.1.1</t>
  </si>
  <si>
    <t>Metal handrails</t>
  </si>
  <si>
    <t>25.3.2</t>
  </si>
  <si>
    <t>Wallrails; stainless steel circular wall rail; with wall rose bracket</t>
  </si>
  <si>
    <t>42 mm dia.</t>
  </si>
  <si>
    <t>25.3.2.1</t>
  </si>
  <si>
    <t>Glazing</t>
  </si>
  <si>
    <t>Mirrors and Louvres</t>
  </si>
  <si>
    <t>Mirror panels; BS EN 14449; silvered; insulation backing</t>
  </si>
  <si>
    <t>27.5.1</t>
  </si>
  <si>
    <t>4 mm thick float; fixing with adhesive</t>
  </si>
  <si>
    <t>1000 mm x 3000 mm</t>
  </si>
  <si>
    <t xml:space="preserve">1000mm x 2000mm </t>
  </si>
  <si>
    <t>1000mm x 500mm</t>
  </si>
  <si>
    <t>Floor, Wall, Ceiling and Roof Finishes</t>
  </si>
  <si>
    <t>Floors; Sreeds (Resin)</t>
  </si>
  <si>
    <t>Resin flooring; Altro epoxy and polyurethane resin flooring system, level, to concrete; sand cement screed or securely bonded 25 mm plywood</t>
  </si>
  <si>
    <t>28.2.1</t>
  </si>
  <si>
    <t>Work to floors; level; to concrete base; over 600 mm wide and over 300 m2 total area</t>
  </si>
  <si>
    <t>Altro TB screed, trowel applied multicoloured epoxy screed; 3 mm thickness including primer</t>
  </si>
  <si>
    <t>28.2.1.1</t>
  </si>
  <si>
    <t>Floors; Edge Fixed Carpeting; Carpet Tiles</t>
  </si>
  <si>
    <t>Carpet tiles; Forbo Flooring; 500 mm × 500 mm carpet tiles; adhesive applied to subfloor</t>
  </si>
  <si>
    <t>28.4.1</t>
  </si>
  <si>
    <t>Work to floors:</t>
  </si>
  <si>
    <t>Alignment; textured cut and loop; 4.00 mm thick</t>
  </si>
  <si>
    <t>Door entrance mats</t>
  </si>
  <si>
    <t>28.4.1.1</t>
  </si>
  <si>
    <t>28.4.2</t>
  </si>
  <si>
    <t>Entrance mat systems; aluminium wiper bar; laying in position; 18 mm thick</t>
  </si>
  <si>
    <t>28.4.2.1</t>
  </si>
  <si>
    <t>Gradus Topguard; 5000 mm × 1200 mm; double wipers</t>
  </si>
  <si>
    <t>Floors; Cork; Rubber; Vinyl</t>
  </si>
  <si>
    <t>Slip-resistant vinyl sheet; Forbo Flooring Surestep; laid level with welded seams; fixing with adhesive; to cement and sand base</t>
  </si>
  <si>
    <t>28.6.1</t>
  </si>
  <si>
    <t>Work to floors; over 600 mm wide</t>
  </si>
  <si>
    <t>2.0 m wide roll × 2.00 mm thick</t>
  </si>
  <si>
    <t>28.6.1.1</t>
  </si>
  <si>
    <t>Walls; Cork; Ceramic Tiling; Marble</t>
  </si>
  <si>
    <t>28.11.1</t>
  </si>
  <si>
    <t>Glazed ceramic wall tiles; fixing with adhesive; butt joints; straight both ways; flush pointing with white grout; to plaster base.  Prices are for good quality tiles</t>
  </si>
  <si>
    <t>Work to walls; over 600 mm wide</t>
  </si>
  <si>
    <t>250 mm × 200 mm × 7.00 mm thick; white and light colours</t>
  </si>
  <si>
    <t>Decoration</t>
  </si>
  <si>
    <t>Painting and Clear Finishes - Internal</t>
  </si>
  <si>
    <t>Touch up primer; two undercoats and one finishing coat of gloss oil paint; on wood surfaces</t>
  </si>
  <si>
    <t>29.3.1</t>
  </si>
  <si>
    <t>General surfaces</t>
  </si>
  <si>
    <t>Two coats emulsion paint</t>
  </si>
  <si>
    <t>29.3.1.1</t>
  </si>
  <si>
    <t>28.11.1.1</t>
  </si>
  <si>
    <t>29.3.2</t>
  </si>
  <si>
    <t>Plaster walls or plaster/plasterboard ceilings</t>
  </si>
  <si>
    <t>over 300 mm girth; in multi colours</t>
  </si>
  <si>
    <t>over 300 mm girth; in staircase areas</t>
  </si>
  <si>
    <t>Plaster/plasterboard ceilings</t>
  </si>
  <si>
    <t>over 300 mm girth; 3.50 m–5.00 m high</t>
  </si>
  <si>
    <t>Suspended Ceilings</t>
  </si>
  <si>
    <t>Ecophon, or other equal; Z demountable suspended concealed ceiling system; 400 mm long hangers plugged and screwed to concrete soffit.</t>
  </si>
  <si>
    <t>30.1.1</t>
  </si>
  <si>
    <t>over 600 mm wide</t>
  </si>
  <si>
    <t>30.1.1.1</t>
  </si>
  <si>
    <t>Lining to ceilings; 1200 mm × 1200 mm x 40mm Gedina ET15 suspended ceiling tiles</t>
  </si>
  <si>
    <t>not exceeding 600 mm wide in isolated strips</t>
  </si>
  <si>
    <t>30.1.1.2</t>
  </si>
  <si>
    <t>Solo Baffle 1800mm x 200mm x 40mm suspended ceiling rafts</t>
  </si>
  <si>
    <t>Solid Suspended Ceilings</t>
  </si>
  <si>
    <t>Gypsum plasterboard; fixing on dabs or with nails; joints filled with joint tape and filler to receive direct decoration; to softwood base</t>
  </si>
  <si>
    <t>30.2.1</t>
  </si>
  <si>
    <t>12.50 mm board to ceilings</t>
  </si>
  <si>
    <t>30.2.1.1</t>
  </si>
  <si>
    <t>Insulation, Fire Stopping and Fire Protection</t>
  </si>
  <si>
    <t>Insulation</t>
  </si>
  <si>
    <t>Board or slab insulation</t>
  </si>
  <si>
    <t>31.1.1</t>
  </si>
  <si>
    <t>Kingspan Thermawall TW50 (Thermal conductivity 0.022 W/mK) High performance rigid thermoset polyisocyanurate (PIR) insulant or other equal and approved; as partial cavity fill; including cutting and fitting around wall ties and retaining discs</t>
  </si>
  <si>
    <t>75 mm thick</t>
  </si>
  <si>
    <t>31.1.1.1</t>
  </si>
  <si>
    <t>Fire Stopping</t>
  </si>
  <si>
    <t>Rockwool fire stops or other equal and approved; between top of brick/block wall and concrete soffit</t>
  </si>
  <si>
    <t>60 mm deep × 100 mm wide</t>
  </si>
  <si>
    <t>31.2.1.1</t>
  </si>
  <si>
    <t>31.2.1</t>
  </si>
  <si>
    <t>30 mm deep × 100 mm wide</t>
  </si>
  <si>
    <t>31.2.1.2</t>
  </si>
  <si>
    <t>Fire barriers</t>
  </si>
  <si>
    <t>31.2.2</t>
  </si>
  <si>
    <t>Rockwool fire barrier or other equal and approved; between top of suspended ceiling and concrete soffit</t>
  </si>
  <si>
    <t>Corofil C144 fire barrier to edge of slab; fixed with non-flammable contact adhesive</t>
  </si>
  <si>
    <t>to suit void 30 mm wide × 100 mm deep; one hour</t>
  </si>
  <si>
    <t>Furniture, Fittings and Equipment</t>
  </si>
  <si>
    <t>Kitchen Fittings</t>
  </si>
  <si>
    <t>32.2.1</t>
  </si>
  <si>
    <t>Kitchen units: supplying and fixing to backgrounds requiring plugging; including any pre-assembly</t>
  </si>
  <si>
    <t>Wall units</t>
  </si>
  <si>
    <t>600 mm × 300 mm × 720 mm</t>
  </si>
  <si>
    <t>800 mm × 300 mm × 720 mm</t>
  </si>
  <si>
    <t>Floor units with drawers</t>
  </si>
  <si>
    <t>32.2.1.1</t>
  </si>
  <si>
    <t>600 mm × 600 mm × 870 mm</t>
  </si>
  <si>
    <t>1000 mm × 600 mm × 870 mm</t>
  </si>
  <si>
    <t>Sink units (excluding sink top)</t>
  </si>
  <si>
    <t>Kitchen worktop: laminated plastics worktops; single rolled edge; prices include for fixing</t>
  </si>
  <si>
    <t>38 mm thick; 600 mm wide</t>
  </si>
  <si>
    <t>extra for forming hole for inset sink</t>
  </si>
  <si>
    <t>extra for jointing strip at corner intersection of worktops</t>
  </si>
  <si>
    <t>Sanitary Appliances and Fittings</t>
  </si>
  <si>
    <t>Sinks; Armitage Shanks or equal</t>
  </si>
  <si>
    <t>32.3.1</t>
  </si>
  <si>
    <t>Sinks; white glazed fireclay; BS 6465; pointing all round with silicone sealant</t>
  </si>
  <si>
    <t>32.3.1.1</t>
  </si>
  <si>
    <t>Belfast sink; 76 cm × 38 cm × 21 cm; pair of Nuastyle 21 basin taps with dual indices, chrome handle; wall mounts; 38 mm slotted waste, chain and plug, screw stay; pair of 40.5 cm aluminium alloy build-in brackets with 35.5 cm studs</t>
  </si>
  <si>
    <t>Lavatory basins; Armitage Shanks or equal</t>
  </si>
  <si>
    <t>32.3.2</t>
  </si>
  <si>
    <t>Basins; white vitreous china; BS 6465 Part 3; pointing all round with silcone sealant</t>
  </si>
  <si>
    <t>pointing all round with silcone sealant Portman 21 40 cm basin; with overflow, chain hole and two tapholes; pair of Nuastyle 21 basin taps with dual indices; slotted basin waste with plastic plug, chain waste and plug; 32 × 75 mm seal plastic standard bottle trap; pair of Portman concealed brackets with waste support; Isovalve 15 mm plastic servicing valve with outlet for copper</t>
  </si>
  <si>
    <t>32.3.2.1</t>
  </si>
  <si>
    <t>Drinking fountains; Armitage Shanks or equal</t>
  </si>
  <si>
    <t>32.3.3</t>
  </si>
  <si>
    <t>Polished stainless steel fountains; pointing all round with silicone selant</t>
  </si>
  <si>
    <t>Purita wall mounted drinking fountain with selfclosing valve and fittings; 32 mm unslotted basin strainer waste</t>
  </si>
  <si>
    <t>32.3.3.1</t>
  </si>
  <si>
    <t>Water closets; Armitage Shanks or equal</t>
  </si>
  <si>
    <t>32.3.4</t>
  </si>
  <si>
    <t>White vitreous china pans and cisterns; pointing all round base with silicone sealant</t>
  </si>
  <si>
    <t>Wentworth close coupled washdown closet pan with horizontal outlet; Orion 3 plastic toilet seat and cover; Panketa pan connector 14º finned; Universal close coupled bottom inlet cistern with syphon</t>
  </si>
  <si>
    <t>32.3.4.1</t>
  </si>
  <si>
    <t>Wall urinals; Armitage Shanks or equal</t>
  </si>
  <si>
    <t>32.3.5</t>
  </si>
  <si>
    <t>White vitreous china bowls and cisterns; pointing all round with silicone sealant</t>
  </si>
  <si>
    <t>Single Sanura 40 cm urinal bowl; Sanura top inlet spreader; pair of wall hangers for urinal bowl; 38 mm plastic domed waste; 38 × 75 mm seal plastic standard bottle trap; Mura 4½ litre capacity auto cistern and cover; Sanura/Mura exposed flushpipe for single urinal bowl</t>
  </si>
  <si>
    <t>32.3.5.1</t>
  </si>
  <si>
    <t>Miscellaneous fittings; Magrini Ltd or equal</t>
  </si>
  <si>
    <t>32.3.6</t>
  </si>
  <si>
    <t>Horizontal nappy changing unit</t>
  </si>
  <si>
    <t>ref KBHS; screwing</t>
  </si>
  <si>
    <t>Miscellaneous fittings; Pressalit Ltd or equal; stainless steel</t>
  </si>
  <si>
    <t>32.3.7</t>
  </si>
  <si>
    <t>Grab rails</t>
  </si>
  <si>
    <t>1000 mm long ref RT104000; screw fix to wall</t>
  </si>
  <si>
    <t>Drainage Above Ground</t>
  </si>
  <si>
    <t>Rainwater Installations</t>
  </si>
  <si>
    <t>Aluminium</t>
  </si>
  <si>
    <t>33.1.1</t>
  </si>
  <si>
    <t>Pipes and fittings; ears cast on; polyester powder coated finish</t>
  </si>
  <si>
    <t>75 mm dia. pipes; plugged and screwed 27.01 0.37 7.35 – 29.50 m 36.85 extra for</t>
  </si>
  <si>
    <t>Roof outlets; circular aluminium; with flat or domed grating; joint to pipe</t>
  </si>
  <si>
    <t>75 mm dia.</t>
  </si>
  <si>
    <t>Aluminium gutters and fittings; polyester powder coated finish</t>
  </si>
  <si>
    <t>31.1.1.2</t>
  </si>
  <si>
    <t>31.1.1.3</t>
  </si>
  <si>
    <t>113 mm half round gutters; on brackets; screwed</t>
  </si>
  <si>
    <t>stop end</t>
  </si>
  <si>
    <t>stop end outlet</t>
  </si>
  <si>
    <t>31.1.1.4</t>
  </si>
  <si>
    <t>31.1.1.5</t>
  </si>
  <si>
    <t>33.2.1</t>
  </si>
  <si>
    <t>33.2.1.1</t>
  </si>
  <si>
    <t>weight not exceeding 40 kg/m</t>
  </si>
  <si>
    <t>tonne</t>
  </si>
  <si>
    <t>weight 40–100 kg/m</t>
  </si>
  <si>
    <t>UC-Universal Columns: UC305x305x97</t>
  </si>
  <si>
    <t>15.1.1.1</t>
  </si>
  <si>
    <t>15.1.1.2</t>
  </si>
  <si>
    <t>UB-Universal Beams: UB305x165x40</t>
  </si>
  <si>
    <t>15.1.1.3</t>
  </si>
  <si>
    <t>general steel fittings; nuts, bolts, plates etc.</t>
  </si>
  <si>
    <t>15.1.1.4</t>
  </si>
  <si>
    <t>Z Purlins: Z140x50x20x2.5</t>
  </si>
  <si>
    <t>PVC-u overflow pipe; solvent welded joints; fixed with clips to backgrounds</t>
  </si>
  <si>
    <t>Disposal Systems</t>
  </si>
  <si>
    <t>Pipe, with brackets measured separately 19 mm</t>
  </si>
  <si>
    <t>Fixings</t>
  </si>
  <si>
    <t>33.2.2</t>
  </si>
  <si>
    <t>33.2.2.1</t>
  </si>
  <si>
    <t>Pipe clip: including fixing to backgrounds</t>
  </si>
  <si>
    <t>19 mm</t>
  </si>
  <si>
    <t>Extra over fittings overflow pipework PVC-u</t>
  </si>
  <si>
    <t>33.2.3</t>
  </si>
  <si>
    <t>Bend</t>
  </si>
  <si>
    <t>19 mm: 91.25°</t>
  </si>
  <si>
    <t>33.2.3.1</t>
  </si>
  <si>
    <t>33.2.4</t>
  </si>
  <si>
    <t>Pipe, with brackets measured separately</t>
  </si>
  <si>
    <t>33.2.4.1</t>
  </si>
  <si>
    <t>33.2.5</t>
  </si>
  <si>
    <t>33.2.5.1</t>
  </si>
  <si>
    <t>33.2.6</t>
  </si>
  <si>
    <t>33.2.6.1</t>
  </si>
  <si>
    <t>Polypropylene traps; including fixing to appliance and connection to pipework; BS 3943</t>
  </si>
  <si>
    <t>Plastic slotted chrome plated basin/sink waste including plug</t>
  </si>
  <si>
    <t>32 mm</t>
  </si>
  <si>
    <t>40 mm</t>
  </si>
  <si>
    <t>Cistern overflow outlet; plastic; white</t>
  </si>
  <si>
    <t>42 mm</t>
  </si>
  <si>
    <t>33.2.4.2</t>
  </si>
  <si>
    <t>33.2.4.3</t>
  </si>
  <si>
    <t>PVC-u soil and waste pipe; solvent welded joints; fixed with clips to backgrounds; BS 4514/ BS EN 607</t>
  </si>
  <si>
    <t>82 mm</t>
  </si>
  <si>
    <t>Plastic pipe clip: including fixing to backgrounds</t>
  </si>
  <si>
    <t>Extra over fittings solvent welded pipework PVC-u</t>
  </si>
  <si>
    <t>Swept bend</t>
  </si>
  <si>
    <t>33.2.7</t>
  </si>
  <si>
    <t>33.2.7.1</t>
  </si>
  <si>
    <t>Piped Supply Systems</t>
  </si>
  <si>
    <t>Copper pipe; capillary or compression joints in the running length; EN1057 R250 (TX) formerly BS 2871 Table X</t>
  </si>
  <si>
    <t>Fixed vertically or at low level, with brackets measured separately</t>
  </si>
  <si>
    <t>22 mm dia.</t>
  </si>
  <si>
    <t>Single spacing clip</t>
  </si>
  <si>
    <t>Single pipe ring</t>
  </si>
  <si>
    <t>22 mm dia</t>
  </si>
  <si>
    <t>Extra over copper pipes; capillary fittings; BS 864</t>
  </si>
  <si>
    <t>Straight coupling; copper to copper</t>
  </si>
  <si>
    <t>Straight tap connector</t>
  </si>
  <si>
    <t>22 mm × ¾″ dia.</t>
  </si>
  <si>
    <t>Equal tee</t>
  </si>
  <si>
    <t>Extra over copper pipes; compression fittings; BS 864</t>
  </si>
  <si>
    <t>Stop end</t>
  </si>
  <si>
    <t>Local electric hot water heaters</t>
  </si>
  <si>
    <t>Unvented multipoint water heater; providing hot water for one or more outlets; used with conventional taps or mixers; factory fitted temperature and pressure relief valve; externally adjustable thermostat; elemental ‘on’ indicator; fitted with 1 m of 3 core cable</t>
  </si>
  <si>
    <t>100 litre capacity; 2.2 kW rating</t>
  </si>
  <si>
    <t>Accessories</t>
  </si>
  <si>
    <t>Sprinklers</t>
  </si>
  <si>
    <t>Prefabricated black steel pipework; screwed joints, including all coupliings, unions and the like to BS 1387:1985; includes fixing to backgrounds, with brackets measured separately</t>
  </si>
  <si>
    <t>Heavy weight</t>
  </si>
  <si>
    <t>25 mm dia. – pipe plus allowance for coupling every 6 m</t>
  </si>
  <si>
    <t>For steel pipes; black malleable iron.</t>
  </si>
  <si>
    <t>Pipe ring, single socket, black malleable iron</t>
  </si>
  <si>
    <t>25 mm dia.</t>
  </si>
  <si>
    <t>Prefabricated black steel pipework; welded joints, including all coupliings, unions and the like to BS 1387:1985; fixing to backgrounds</t>
  </si>
  <si>
    <t>65 mm dia. – pipe length only, welded joints on runs assumed</t>
  </si>
  <si>
    <t>For steel pipes; black malleable iron</t>
  </si>
  <si>
    <t>65 mm dia.</t>
  </si>
  <si>
    <t>Extra over fittings</t>
  </si>
  <si>
    <t>Reducer</t>
  </si>
  <si>
    <t>Reducer to 25mm pipe</t>
  </si>
  <si>
    <t>Elbow; 90° female/female</t>
  </si>
  <si>
    <t>Tee</t>
  </si>
  <si>
    <t>25 mm dia. equal</t>
  </si>
  <si>
    <t xml:space="preserve">Cold Water </t>
  </si>
  <si>
    <t xml:space="preserve">Hot Water </t>
  </si>
  <si>
    <t>Sprinkler Heads</t>
  </si>
  <si>
    <t>Sprinkler heads; brass body; frangible glass bulb; manufactured to standard operating temperature of 57–141°C; quick response; RTI</t>
  </si>
  <si>
    <t>Valves</t>
  </si>
  <si>
    <t>Wet system alarm valves; including internal non-return valve; working pressure up to 12.5 bar; BS4504 PN16 flanged ends; bolted connections</t>
  </si>
  <si>
    <t>100 mm dia</t>
  </si>
  <si>
    <t>Alarm/Gongs</t>
  </si>
  <si>
    <t>Water operated motor alarm and gong; stainless steel and aluminum body and gong; screwed connections</t>
  </si>
  <si>
    <t>Extinguishers</t>
  </si>
  <si>
    <t>Fire extinguishers; hand held; BS 5423; placed in position</t>
  </si>
  <si>
    <t>Dry powder type; cartridge operated; for Class A, B &amp; C fires and electrical equipment fires</t>
  </si>
  <si>
    <t>Glass fibre blanket, in GRP container</t>
  </si>
  <si>
    <t>1100 × 1100 mm</t>
  </si>
  <si>
    <t xml:space="preserve">External condensing units suitable for connection to multiple indoor units; inverter driven; refrigerant 410 A </t>
  </si>
  <si>
    <t>Heat pump</t>
  </si>
  <si>
    <t>Room units</t>
  </si>
  <si>
    <t>Ceiling mounted 4 way blow cassette heat pump unit with remote fan speed and load control; refrigerant 410 A</t>
  </si>
  <si>
    <t>Ductwork</t>
  </si>
  <si>
    <t>Galvanized sheet metal DW144 class B spirally wound circular section ductwork; including all necessary stiffeners, joints, couplers in the running length and duct supports</t>
  </si>
  <si>
    <t>Straight duct</t>
  </si>
  <si>
    <t>1000 mm dia.</t>
  </si>
  <si>
    <t>250 mm dia.</t>
  </si>
  <si>
    <t>100 mm dia.</t>
  </si>
  <si>
    <t>Extra over fittings; circular duct class B</t>
  </si>
  <si>
    <t>End cap</t>
  </si>
  <si>
    <t>90° segmented radius bend</t>
  </si>
  <si>
    <t>Ductwork Ancillaries</t>
  </si>
  <si>
    <t>Circular</t>
  </si>
  <si>
    <t>Fire damper; galvanized steel casing; stainless steel folding shutter; fusible link with manual reset; BS 476 4 hour fire-rated</t>
  </si>
  <si>
    <t>Ventilation/Air Conditioning Systems</t>
  </si>
  <si>
    <t>Air Curtains</t>
  </si>
  <si>
    <t>Commercial grade air curtains; recessed or exposed units with rigid sheet steel casing; aluminium grilles; high quality motor/centrifugal fan assembly; includes fixing in position; electrical work elsewhere</t>
  </si>
  <si>
    <t>Ambient temperature; 240 V single phase supply; mounting height 2.80 m</t>
  </si>
  <si>
    <t>2500 × 590 × 270 mm</t>
  </si>
  <si>
    <t>Attenuators</t>
  </si>
  <si>
    <t>Attenuators; DW144 galvanized construction c/w splitters; self-securing; fitted to ductwork</t>
  </si>
  <si>
    <t>To suit circular ducts; unit length 600 mm</t>
  </si>
  <si>
    <t>Electrical Supply/Power/Heating</t>
  </si>
  <si>
    <t>LV Distribution</t>
  </si>
  <si>
    <t>Galvanized steel trunking; fixed to backgrounds; jointed with standard connectors (including plates for air gap between trunking and background); earth continuity straps included</t>
  </si>
  <si>
    <t>Single compartment</t>
  </si>
  <si>
    <t>100 × 50 mm</t>
  </si>
  <si>
    <t>Bends 90°; single compartment</t>
  </si>
  <si>
    <t>Tees; single compartment</t>
  </si>
  <si>
    <t>Armoured Cable</t>
  </si>
  <si>
    <t>Cable; XLPE insulated; PVC sheathed; copper stranded conductors to BS 5467; laid in trench/duct including marker tape</t>
  </si>
  <si>
    <t>600/1000 volt grade; two core (galvanized steel wire armour)</t>
  </si>
  <si>
    <t>25 mm²</t>
  </si>
  <si>
    <t>Basket Trays</t>
  </si>
  <si>
    <t>Mild steel cable basket; zinc plated including standard coupling joints, fixings and earth continuity straps</t>
  </si>
  <si>
    <t>Basket 54 mm deep</t>
  </si>
  <si>
    <t>100 mm wide</t>
  </si>
  <si>
    <t>Switchgear and Distribution Boards</t>
  </si>
  <si>
    <t>Moulded case circuit breakers (MCCBs) to BS EN 60947–2; plug-in type, fitted with electronic trip unit. Includes metalwork section and copper links, assembled into LV switchboard</t>
  </si>
  <si>
    <t>MCCB−150 kA fault rated</t>
  </si>
  <si>
    <t>4 pole, 630 A (800 mm wide, 600 mm high)</t>
  </si>
  <si>
    <t>MCB distribution boards; IP3X external protection enclosure; removable earth and neutral bars and DIN rail; 125/250 amp incomers; including fixing to backgrounds</t>
  </si>
  <si>
    <t>SP&amp;N</t>
  </si>
  <si>
    <t>24 way</t>
  </si>
  <si>
    <t>Breakers and Fuses</t>
  </si>
  <si>
    <t>Enclosed switch disconnector to BSEN 60947–3; enclosure minimum IP55 rating; complete with earth connection bar; fixed to backgrounds.</t>
  </si>
  <si>
    <t>TP&amp;N</t>
  </si>
  <si>
    <t>63 amp</t>
  </si>
  <si>
    <t>General Lighting</t>
  </si>
  <si>
    <t>LED tube luminaires; surface fixed to backgrounds</t>
  </si>
  <si>
    <t>Suspended linear LED up/downlight 1.5 m Integral gear; MPO diffuser cut-off; 30% uplight, 70% downlight</t>
  </si>
  <si>
    <t>1 × 45 W (downlight), 1 × 30 W (uplight)</t>
  </si>
  <si>
    <t>Ceiling recessed round asymetric LED downlighter; for wall washing with nondimmable gear</t>
  </si>
  <si>
    <t>1 × 50 W</t>
  </si>
  <si>
    <t>LED Circular modular spotlight; recessed into ceiling; including driver, polycarbonate optical lenses/diffuser, heat sink and 3000 K colour temperature</t>
  </si>
  <si>
    <t>1 × 15 W</t>
  </si>
  <si>
    <t>Lighting Accessories</t>
  </si>
  <si>
    <t>Switches</t>
  </si>
  <si>
    <t>1 gang</t>
  </si>
  <si>
    <t>2 gang</t>
  </si>
  <si>
    <t>Plate switches; 10 amp flush mounted, white plastic fronted; 16 mm metal box; fitted brass earth terminal</t>
  </si>
  <si>
    <t>1 gang 1 way, single pole</t>
  </si>
  <si>
    <t>2 gang 2 way, single pole</t>
  </si>
  <si>
    <t>3 gang 2 way, single pole</t>
  </si>
  <si>
    <t>Outlets</t>
  </si>
  <si>
    <t>Socket outlet; switched; 13 amp; BS 1363; white moulded plastic box and coverplate; fixed surface mounted</t>
  </si>
  <si>
    <t>Floor service outlet box; comprising flat lid with flanged carpet trim; twin 13 A switched socket outlets; punched plate for mounting 2 telephone outlets; two blank plates; four compartment</t>
  </si>
  <si>
    <t>4 compartment</t>
  </si>
  <si>
    <t>Floor service outlet box; comprising flat lid with flanged carpet trim; single 13 A unswitched socket outlet; single compartment; circular</t>
  </si>
  <si>
    <t>1 compartment</t>
  </si>
  <si>
    <t>Cooker control units</t>
  </si>
  <si>
    <t>Cooker control unit: BS 4177; 45 Amp D.P. main switch; 13 amp switched socket outlet; moulded plastic box and coverplate; surface mounted</t>
  </si>
  <si>
    <t>With neon indicators</t>
  </si>
  <si>
    <t>Emergency Lighting</t>
  </si>
  <si>
    <t>DC central battery systems BS5266 compliant 24/50/110 volt</t>
  </si>
  <si>
    <t>DC supply to luminaires on mains failure; metal cubicle with battery charger, changeover device and battery as integral unit; ICEL 1001 compliant; 10 year design life valve regulated lead acid battery; 24 hour recharge; LCD display &amp; LED indication; ICEL alarm pack; Includes on-site commissioning on 110 volt systems only</t>
  </si>
  <si>
    <t>110 volt</t>
  </si>
  <si>
    <t>1603 W maintained, 3 hour</t>
  </si>
  <si>
    <t>Telecommunications</t>
  </si>
  <si>
    <t>Multipair internal telephone cable; BS 6746; installed in conduit/trunking</t>
  </si>
  <si>
    <t>0.5 mm dia. conductor LSZH insulated and sheathed multipair cables; BT specification CW 1308</t>
  </si>
  <si>
    <t>3 pair</t>
  </si>
  <si>
    <t>Telephone outlet: moulded plastic plate with box; fitted and connected; flush or surface mounted</t>
  </si>
  <si>
    <t>Angled sockets; surface mounted; Splashproof; 100–130 volts, 50–60 Hz; IP 44 (yellow)</t>
  </si>
  <si>
    <t>2 pole and earth</t>
  </si>
  <si>
    <t>32 amp</t>
  </si>
  <si>
    <t>Access Control Equipment</t>
  </si>
  <si>
    <t>Equipment to control the movement of personnel into defined spaces; includes fixing to backgrounds, termination of power and data cables; excludes cable containment and cable installation</t>
  </si>
  <si>
    <t>Access control</t>
  </si>
  <si>
    <t>Proximity reader</t>
  </si>
  <si>
    <t>Exit PIR</t>
  </si>
  <si>
    <t>Security Detection and Alarm</t>
  </si>
  <si>
    <t>Detection and alarm systems for the protection of property and persons; includes fixing of equipment to backgrounds and termination of power and data cabling; excludes cable containment and cable installation</t>
  </si>
  <si>
    <t>Detection, alarm equipment</t>
  </si>
  <si>
    <t>12 m PIR detector</t>
  </si>
  <si>
    <t>8 zone alarm panel</t>
  </si>
  <si>
    <t>Surveillance equipment</t>
  </si>
  <si>
    <t>16 way DVR, 750 GB harddrive</t>
  </si>
  <si>
    <t>15″ colour monitor</t>
  </si>
  <si>
    <t>Fire Detection and Alarm</t>
  </si>
  <si>
    <t>Equipment</t>
  </si>
  <si>
    <t>Manual call point units: plastic covered</t>
  </si>
  <si>
    <t>Flush mounted</t>
  </si>
  <si>
    <t>Detectors</t>
  </si>
  <si>
    <t>Sounders</t>
  </si>
  <si>
    <t>WiFi</t>
  </si>
  <si>
    <t>Wi-Fi access points, suitable for large developments. Indoor access points, 802.11ac Wi-Fi, dual band, 2.4 GHz and 5 GHz</t>
  </si>
  <si>
    <t>Builder's Work in Connection with Services</t>
  </si>
  <si>
    <t>Holes, Chases for Services</t>
  </si>
  <si>
    <t>Electrical installations; cutting away for and making good after electrician; including cutting or leaving all holes, notches, mortices, sinkings and chases, in both the structure and its coverings, for the following electrical points</t>
  </si>
  <si>
    <t>41.1.1</t>
  </si>
  <si>
    <t>Concealed installation</t>
  </si>
  <si>
    <t>lighting points</t>
  </si>
  <si>
    <t>socket outlet points</t>
  </si>
  <si>
    <t>fitting outlet points</t>
  </si>
  <si>
    <t>Builders’ work for other services installations</t>
  </si>
  <si>
    <t>41.1.2</t>
  </si>
  <si>
    <t>Cutting and pinning to brickwork or blockwork; ends of supports</t>
  </si>
  <si>
    <t>for pipes not exceeding 55 mm nominal size</t>
  </si>
  <si>
    <t>Cutting or forming holes for pipes or the like; 55 mm– 110 mm nominal size; making good</t>
  </si>
  <si>
    <t>plasterboard partition or suspended ceiling</t>
  </si>
  <si>
    <t>Cutting or forming holes for ducts; girth 1.00 m– 2.00 m; making good</t>
  </si>
  <si>
    <t>100 mm blockwork</t>
  </si>
  <si>
    <t>Contractor designed precast concrete lift shaft; including installation and fixing in position</t>
  </si>
  <si>
    <t>13.1.2</t>
  </si>
  <si>
    <t>Elevator Installation</t>
  </si>
  <si>
    <t>Complete mechanical and electrical installation of two-storey four person elevator</t>
  </si>
  <si>
    <t>Installation of guide rails and brackets; hydraulic pistons; 4 person carriage and platform 1400x1500mm; electrical installation of the motion and electronic controll systems; two landing entrance door boxes and all associated material and accessories</t>
  </si>
  <si>
    <t>Pointing in</t>
  </si>
  <si>
    <t>Pointing with mastic</t>
  </si>
  <si>
    <t>Decorative Metalwork</t>
  </si>
  <si>
    <t>External aluminium posts</t>
  </si>
  <si>
    <t>15.6.1</t>
  </si>
  <si>
    <t>15.6.1.1</t>
  </si>
  <si>
    <t>Energy Efficient Fittings</t>
  </si>
  <si>
    <t>32.4.1</t>
  </si>
  <si>
    <t>Photovoltaic solar panels</t>
  </si>
  <si>
    <t>1650 x 990mm</t>
  </si>
  <si>
    <t>32.4.1.1</t>
  </si>
  <si>
    <t>Voltacon solar panel 420W half-cut 108 cells monocrystalline; including all associated electrical installation</t>
  </si>
  <si>
    <t>First floor</t>
  </si>
  <si>
    <t>Fascia details</t>
  </si>
  <si>
    <t>150mm extruded aluminium fascia boards fixed to kalzip seam using aluminium blind rivets; extruded aluminium end clips fixed to ST clips with stainless steel fasteners; extruded aluminium tolerence clip hooked over gable end channel</t>
  </si>
  <si>
    <t>Built Up Felt Roof Coverings</t>
  </si>
  <si>
    <t>Tapered insulation board underlays</t>
  </si>
  <si>
    <t>17.1.1</t>
  </si>
  <si>
    <t>Flat Roofs</t>
  </si>
  <si>
    <t>Tapered PIR (Polyisocyanurate) board; mechanically fastened</t>
  </si>
  <si>
    <t>effective thickness achieving 0.18 W/m2K</t>
  </si>
  <si>
    <t>Sarnafil polymeric waterproofing membrane; 1.2 mm thick fleece backed membrane; cold roof</t>
  </si>
  <si>
    <t>Roof coverings</t>
  </si>
  <si>
    <t>pitch not exceeding 5°; to metal decking or the like</t>
  </si>
  <si>
    <t>Walls; Cladding</t>
  </si>
  <si>
    <t>Wooden acoustic wall panelling</t>
  </si>
  <si>
    <t>600 x 3000mm</t>
  </si>
  <si>
    <t>SlatWall washed oak panelling; felt backing; fixed with grab adhesive (included)</t>
  </si>
  <si>
    <t>28.17.1</t>
  </si>
  <si>
    <t>Seating</t>
  </si>
  <si>
    <t>Lecture Theatre Seating</t>
  </si>
  <si>
    <t>Kind beam seating with fire retardant fabric padded multicolour seats; black tubular steel frame; fixed into position</t>
  </si>
  <si>
    <t>Kitchen Appliances</t>
  </si>
  <si>
    <t>Double Oven</t>
  </si>
  <si>
    <t>Lincat Silverlink 600 Electric Oven Range ESLR9C Single Phase</t>
  </si>
  <si>
    <t>Double Fridge Freezer</t>
  </si>
  <si>
    <t>32.2.2</t>
  </si>
  <si>
    <t>32.2.2.1</t>
  </si>
  <si>
    <t>Commercial Refrigerator Upright cabinet 1200 litres Stainless steel twin door GN2/1 Fan assisted cooling Adexa R1200S</t>
  </si>
  <si>
    <t>32.2.3</t>
  </si>
  <si>
    <t>32.2.3.1</t>
  </si>
  <si>
    <t>Oven Hood</t>
  </si>
  <si>
    <t>ILVE Traditional 150 hood 150cm Stainless Steel</t>
  </si>
  <si>
    <t>32.2.4</t>
  </si>
  <si>
    <t>Dishwasher</t>
  </si>
  <si>
    <t>32.2.4.1</t>
  </si>
  <si>
    <t>Commercial Dishwasher 540 plates/hour 500mm basket Drain pump Detergent pump Rinse aid pump 13A Adexa EMP500</t>
  </si>
  <si>
    <t>32.2.5</t>
  </si>
  <si>
    <t>Integrated Microwave</t>
  </si>
  <si>
    <t>Beko BMGB25332BG 25L 900W Built-in Microwave Oven &amp; Grill Stainless Steel</t>
  </si>
  <si>
    <t>16</t>
  </si>
  <si>
    <t>Carpentry</t>
  </si>
  <si>
    <t>Boarding to Floors</t>
  </si>
  <si>
    <t>Lecture Theatre's Tiered Seating Areas</t>
  </si>
  <si>
    <t>Acoustic chipboard flooring</t>
  </si>
  <si>
    <t>16.3.1</t>
  </si>
  <si>
    <t>Boarding to floors; tongued and grooved joints</t>
  </si>
  <si>
    <t>chipboard on New Era levelling system</t>
  </si>
  <si>
    <t>16.3.1.1</t>
  </si>
  <si>
    <t>32.3.8</t>
  </si>
  <si>
    <t>Mounted hand dryers</t>
  </si>
  <si>
    <t>C21 Nozzle Hand Dryer in White</t>
  </si>
  <si>
    <t>Rev. A</t>
  </si>
  <si>
    <t>TOTAL</t>
  </si>
  <si>
    <t>13.1.2.1</t>
  </si>
  <si>
    <t>14.7.3.2</t>
  </si>
  <si>
    <t>14.7.5</t>
  </si>
  <si>
    <t>14.7.5.1</t>
  </si>
  <si>
    <t>14.7.5.2</t>
  </si>
  <si>
    <t>17.3.1.1</t>
  </si>
  <si>
    <t>17.3.2</t>
  </si>
  <si>
    <t>17.3.2.1.</t>
  </si>
  <si>
    <t>17.3.2.2</t>
  </si>
  <si>
    <t>17.6.1.3</t>
  </si>
  <si>
    <t>27.5.1.1</t>
  </si>
  <si>
    <t>27.5.1.2</t>
  </si>
  <si>
    <t>27.5.1.3</t>
  </si>
  <si>
    <t>28.17.1.1</t>
  </si>
  <si>
    <t>29.3.2.1</t>
  </si>
  <si>
    <t>29.3.2.2</t>
  </si>
  <si>
    <t>29.3.2.3</t>
  </si>
  <si>
    <t>31.2.2.1</t>
  </si>
  <si>
    <t>31.2.2.2</t>
  </si>
  <si>
    <t>32.1.1</t>
  </si>
  <si>
    <t>32.1.1.1</t>
  </si>
  <si>
    <t>32.1.1.2</t>
  </si>
  <si>
    <t>32.1.1.3</t>
  </si>
  <si>
    <t>32.1.1.4</t>
  </si>
  <si>
    <t>32.1.1.5</t>
  </si>
  <si>
    <t>32.1.1.6</t>
  </si>
  <si>
    <t>32.1.1.7</t>
  </si>
  <si>
    <t>32.1.1.8</t>
  </si>
  <si>
    <t>32.2.5.1</t>
  </si>
  <si>
    <t>32.3.6.1</t>
  </si>
  <si>
    <t>32.3.7.1</t>
  </si>
  <si>
    <t>32.3.8.1</t>
  </si>
  <si>
    <t>32.5.1</t>
  </si>
  <si>
    <t>32.5.1.1</t>
  </si>
  <si>
    <t>Mechanical Sytems</t>
  </si>
  <si>
    <t>41.1.1.1</t>
  </si>
  <si>
    <t>41.1.1.2</t>
  </si>
  <si>
    <t>41.1.1.3</t>
  </si>
  <si>
    <t>41.1.2.1</t>
  </si>
  <si>
    <t>41.1.2.2</t>
  </si>
  <si>
    <t>41.1.2.3</t>
  </si>
  <si>
    <t>41.1.2.4</t>
  </si>
  <si>
    <t>floor spans 9.50 m–12.00 m; 1200 mm × 300 mm x 200mm</t>
  </si>
  <si>
    <t>two storey; 1400x1500mm; wall thickness of 125mm; max tolerance +/- 6mm; concrete garde C50 with a type B finish; design life of 50 years; 120 minutes fire resistance; suitable for four persons; max capacity of 272kg</t>
  </si>
  <si>
    <t>facework one side, half brick thick; stretcher bond</t>
  </si>
  <si>
    <t>width of cavity 75 mm; stainless steel butterfly wall ties; three wall ties per m2</t>
  </si>
  <si>
    <t>window frames</t>
  </si>
  <si>
    <t>weep vents to perpends; plastic</t>
  </si>
  <si>
    <t>frame cramp, with slot; Halfen HTS-FS12; 150 mm stainless steel A2</t>
  </si>
  <si>
    <t>closing cavities; width of cavity 75 mm–84 mm</t>
  </si>
  <si>
    <t>width 100 mm; ref GBF40W100B25</t>
  </si>
  <si>
    <t>wall not exceeding 215 mm wide; 20 mm wide joint with 45 mm deep filler (two hour fire seal)</t>
  </si>
  <si>
    <t>permanent erection on site</t>
  </si>
  <si>
    <t>touch up primer and one coat of two pack epoxy zinc phosphate primer</t>
  </si>
  <si>
    <t>intumescent paint fire protection (120 minutes); spray applied</t>
  </si>
  <si>
    <t>extra over for; separate decorative sealer top coat</t>
  </si>
  <si>
    <t>150 x 150 x 10mm</t>
  </si>
  <si>
    <t>17.1.1.1</t>
  </si>
  <si>
    <t>roof coverings (twin skin construction); pitch not less than 1.5°; fixed to cold rolled purlins</t>
  </si>
  <si>
    <t>over 300 mm wide</t>
  </si>
  <si>
    <t>average height 3.5 m</t>
  </si>
  <si>
    <t>height 3.00-4.00m</t>
  </si>
  <si>
    <t>flat system</t>
  </si>
  <si>
    <t>typical coping detail, including pressed aluminium profiles, membranes, seals, etc</t>
  </si>
  <si>
    <t>typical sill detail, including pressed aluminium profiles, membranes, seals, etc.</t>
  </si>
  <si>
    <t>one cubicle set; 2 nr panels; 1 nr door</t>
  </si>
  <si>
    <t>range of 3 cubicle sets; 4 nr panels; 3 nr doors</t>
  </si>
  <si>
    <t>reduction of 7 nr panel for end unit adjoining side wall</t>
  </si>
  <si>
    <t>punched hole windows fixing into prepared apertures</t>
  </si>
  <si>
    <t>isolated surfaces not exceeding 300 mm girth</t>
  </si>
  <si>
    <t>two 50 mm layers × 900 mm wide; one hour</t>
  </si>
  <si>
    <t>four position beam</t>
  </si>
  <si>
    <t>pressure reducing valve and expansion kit</t>
  </si>
  <si>
    <t>thermostatic blending valve</t>
  </si>
  <si>
    <t>conventional pattern; 15 mm dia.</t>
  </si>
  <si>
    <t>connection to sprinkler system and drain pipework</t>
  </si>
  <si>
    <t>dry powder type, 1 kg capacity; 12 gm CO2 cartridge; Class A, B &amp; C fires (fire-rating 5 A:34B)</t>
  </si>
  <si>
    <t>cooling 14.50 kW, heating 16.50 kW</t>
  </si>
  <si>
    <t>cooling 4.9 kW, heating 5.5 kW</t>
  </si>
  <si>
    <t>cooling 12.20 kW, heating 14.60 kW</t>
  </si>
  <si>
    <t>zingle master outlet</t>
  </si>
  <si>
    <t>self-contained external sounder</t>
  </si>
  <si>
    <t>auto dome external, colour</t>
  </si>
  <si>
    <t>auto dome internal, colour</t>
  </si>
  <si>
    <t>call point</t>
  </si>
  <si>
    <t>smoke, ionization type with mounting base</t>
  </si>
  <si>
    <t>siren; 230V</t>
  </si>
  <si>
    <t>up to 500 connected devices, 1733 Mbps</t>
  </si>
  <si>
    <t>15.1.2.1</t>
  </si>
  <si>
    <t>Structural Framing Schedule</t>
  </si>
  <si>
    <t>Family and Type</t>
  </si>
  <si>
    <t>Length</t>
  </si>
  <si>
    <t>Count</t>
  </si>
  <si>
    <t>Volume</t>
  </si>
  <si>
    <t>0.04 m³</t>
  </si>
  <si>
    <t>0.03 m³</t>
  </si>
  <si>
    <t>Columns</t>
  </si>
  <si>
    <t>mm</t>
  </si>
  <si>
    <t>97kg/m</t>
  </si>
  <si>
    <t>kg</t>
  </si>
  <si>
    <t>0.02 m³</t>
  </si>
  <si>
    <t>0.01 m³</t>
  </si>
  <si>
    <t>0.05 m³</t>
  </si>
  <si>
    <t>Beams</t>
  </si>
  <si>
    <t>40kg/m</t>
  </si>
  <si>
    <t>Roof 1 10.35m wide x 18.15m long</t>
  </si>
  <si>
    <t>Roof 2 7.89m wide x 17.13m long</t>
  </si>
  <si>
    <t>Roof 6 3.67m wide x 5.52m long</t>
  </si>
  <si>
    <t>Roof 3 23.37m wide x 21.64m long</t>
  </si>
  <si>
    <t>Roof 4 8.47m wide x 17.63m long</t>
  </si>
  <si>
    <t>Roof 5 9.95m wide x 14.75m long</t>
  </si>
  <si>
    <t>Roof 8 3.86m wide x 5.48m long</t>
  </si>
  <si>
    <t>Purlins</t>
  </si>
  <si>
    <t>5.11kg/m</t>
  </si>
  <si>
    <t>Rooms</t>
  </si>
  <si>
    <t>Area</t>
  </si>
  <si>
    <t>Width</t>
  </si>
  <si>
    <t>Ground Floor</t>
  </si>
  <si>
    <t>First Floor</t>
  </si>
  <si>
    <t>Lecture Theatre 1</t>
  </si>
  <si>
    <t>Lecture Theatre 2</t>
  </si>
  <si>
    <t>Lecture Room 1</t>
  </si>
  <si>
    <t>Lecture Room 2</t>
  </si>
  <si>
    <t>Lecture Room 3</t>
  </si>
  <si>
    <t>Lecture Room 4</t>
  </si>
  <si>
    <t>Lecture Room 5</t>
  </si>
  <si>
    <t>Lecture Room 6</t>
  </si>
  <si>
    <t>Lecture Room 7</t>
  </si>
  <si>
    <t>Lecture Room 8</t>
  </si>
  <si>
    <t>Lecture Room 9</t>
  </si>
  <si>
    <t>Lecture Room 10</t>
  </si>
  <si>
    <t>Study Area 1</t>
  </si>
  <si>
    <t>Study Area 2</t>
  </si>
  <si>
    <t>Study Area 3</t>
  </si>
  <si>
    <t>Study Area 4</t>
  </si>
  <si>
    <t>Stair Room</t>
  </si>
  <si>
    <t>Service 1</t>
  </si>
  <si>
    <t>Service 2</t>
  </si>
  <si>
    <t>Store 1</t>
  </si>
  <si>
    <t>Store 2</t>
  </si>
  <si>
    <t>Lift 1</t>
  </si>
  <si>
    <t>Lift 2</t>
  </si>
  <si>
    <t>Kitchen</t>
  </si>
  <si>
    <t>Communal Area 1</t>
  </si>
  <si>
    <t>Communal Area 2</t>
  </si>
  <si>
    <t>Female Toilets</t>
  </si>
  <si>
    <t>Male Toilets</t>
  </si>
  <si>
    <t>Disabled Toilet</t>
  </si>
  <si>
    <t>Disabled Toilet/Changing Room</t>
  </si>
  <si>
    <t>Done prior to being delivered to site</t>
  </si>
  <si>
    <t>Crane excluded (Prelims)</t>
  </si>
  <si>
    <t>Includes 3 courses below DPC</t>
  </si>
  <si>
    <t>Allowed for every 2m</t>
  </si>
  <si>
    <t>Comments/Assumptions</t>
  </si>
  <si>
    <t>External and internal</t>
  </si>
  <si>
    <t>Allowed for every 450mm</t>
  </si>
  <si>
    <t>Assumed that these will be required to tie the blockwork to the steel frame</t>
  </si>
  <si>
    <t>Assumed to prevent horizontal bending</t>
  </si>
  <si>
    <t>Allowed for every 1.2m</t>
  </si>
  <si>
    <t>Includes an allowance to be secured in the ground by concrete</t>
  </si>
  <si>
    <t>Fire-resisting vertical expansion joints; filling with joint filler; fixed with high temperature slip adhesive; with polysulphide sealant one side; between end of wall and concrete</t>
  </si>
  <si>
    <t>GENERAL</t>
  </si>
  <si>
    <t>Site Location</t>
  </si>
  <si>
    <t>Contingency</t>
  </si>
  <si>
    <t>All rates include an uplift percentage for contingency due to the risk of the project.</t>
  </si>
  <si>
    <t xml:space="preserve">All rates are inclusive of a 20% contingency fee due to the risk Empire Construction are taking in the design and build contract. </t>
  </si>
  <si>
    <t xml:space="preserve">All rates have been adjusted to suit the Swansea location. </t>
  </si>
  <si>
    <t>Overheads</t>
  </si>
  <si>
    <t xml:space="preserve">All rates are inclusive of an overhead fee to cover the cost of the contractor's employees working at the head office. </t>
  </si>
  <si>
    <t>Delays</t>
  </si>
  <si>
    <t>The attached rates are based on the client having complete uninterrupted access to the site. If works are interrupted for either a reason or at the hands of the client, the client will face a loss of work/standing fee.</t>
  </si>
  <si>
    <t xml:space="preserve">The attached rates are based on Empire Construction having complete uninterrupted exclusive access to the site and there being no archaeological or ecological attendance. </t>
  </si>
  <si>
    <t>Additional Works</t>
  </si>
  <si>
    <t>Any additional works not listed in the tender but required by the client, must have a formal variation order agreed before any works shall proceed.</t>
  </si>
  <si>
    <t xml:space="preserve">Any additional works requested by the client will be based on Empire Construction's rates at the time of the variation. </t>
  </si>
  <si>
    <t xml:space="preserve">The drawings that the tender is based on is listed in the tender submission, any client led amendments to the drawings will be priced on an Add/Omit remeasure basis. </t>
  </si>
  <si>
    <t>Minimum Visit/Quantity Charges</t>
  </si>
  <si>
    <t>The rates provided do not include for any minimum visit charges. If these are required due to a delay that the contractor is not resposible for, the client will be subjected to these additional charges.</t>
  </si>
  <si>
    <t>Suspension of Works</t>
  </si>
  <si>
    <t xml:space="preserve">Should extra costs be incurred by the contractor due to the suspension of work on the customer's instructions, or lack of instructions, or as a result of interruptions, delays, overtime, unusual hours of work in which the contractor is not responsible for, then such extra costs will be charged to the client. </t>
  </si>
  <si>
    <t>As per the description.</t>
  </si>
  <si>
    <t>Working Hours</t>
  </si>
  <si>
    <t>Unless otherwise stated, the whole of the works shall be carried out during normal working hours. Any overtime work instructed by the client shall be subjected to additional charges.</t>
  </si>
  <si>
    <t>Empire Construction's normal working hours are between 8am and 5pm.</t>
  </si>
  <si>
    <t>Deliveries</t>
  </si>
  <si>
    <t>All rates include for material/plant delivery and off loading at the site. The contractor is responsible for managing site traffic and ensuring safety.</t>
  </si>
  <si>
    <t>All rates include for delivery and off loading.</t>
  </si>
  <si>
    <t>Storage</t>
  </si>
  <si>
    <t xml:space="preserve">All rates allow for materials to be stored safely on site with easy access. The contractor is responsible for ensuring the site is safely secured at the end of every day and that the materials are stored correctly. </t>
  </si>
  <si>
    <t>Rates</t>
  </si>
  <si>
    <t>As per description.</t>
  </si>
  <si>
    <t>All rates quoted shall include for all tools, plant, labour, materials and accessories required for the intended performance of the item of work unless otherwise specificed. Where an item is not listed in the Bill of Quantities, the item is deemed as not included. All rates provided are exclusive of VAT.</t>
  </si>
  <si>
    <t>Working at Height</t>
  </si>
  <si>
    <t>All rates include for working at height where required. It is the contractor's responsibility to ensure this is carried out safely.</t>
  </si>
  <si>
    <t>Protective Coverings</t>
  </si>
  <si>
    <t>All rates include for the supply and fit of any fittings/fixtures to have temporary protective coverings to protect them from damage until project completion.</t>
  </si>
  <si>
    <t xml:space="preserve">Included </t>
  </si>
  <si>
    <t>Completion of the Works</t>
  </si>
  <si>
    <t>All prices include for the works to be left in a sound and clean state on completion. The client is to check all areas of the works and to sign a disclosure statement that states that the contractor left the premises in an acceptable contidition with no damages and that the client is happy with the condition of the works. The contractor will not be liable for any damages after this period.</t>
  </si>
  <si>
    <t>BRICKWORK</t>
  </si>
  <si>
    <t xml:space="preserve">All rates are inclusive of a 14% overheads fee. </t>
  </si>
  <si>
    <t>Sophie Morgan - Estimator</t>
  </si>
  <si>
    <r>
      <t xml:space="preserve">Signed: </t>
    </r>
    <r>
      <rPr>
        <b/>
        <sz val="12"/>
        <color theme="1"/>
        <rFont val="Brush Script MT"/>
        <family val="4"/>
      </rPr>
      <t>S Morgan</t>
    </r>
  </si>
  <si>
    <t>STEEL</t>
  </si>
  <si>
    <t>Fabrication</t>
  </si>
  <si>
    <t xml:space="preserve">All rates allow for the steel to be fabricated off-site and delivered closer to erection date. All members are then to be either welded or bolted together on site. The contractor should provide necessary storage for the steel whilst it is on-site. </t>
  </si>
  <si>
    <t>Specification</t>
  </si>
  <si>
    <t>All steel is to comply with BS EN 10025:2004. The price includes for all universal columns, beams, purlins and assocaited accessories (nuts, bolts, plates etc.) as shwon on the structural drawings.</t>
  </si>
  <si>
    <t>Erection</t>
  </si>
  <si>
    <t xml:space="preserve">The steel frame is to be permanently erected on site with the use of a crane. These rates do not include for the provision of a crane, this is included within the Preliminaries. All associated works at height have been allowed for. </t>
  </si>
  <si>
    <t>Surface Treatment</t>
  </si>
  <si>
    <t>Design</t>
  </si>
  <si>
    <t>The contractor is responsible for the structural design of the building and must provide all necessary drawings and technical details to the client.</t>
  </si>
  <si>
    <t>The price allows for one coat of primer and one coat of two pack epoxy zinc phosphate primer. An allowance has also been made for a sprayed intumescent paint fire protection and a decorative sealer top coat. All steel used is to be fire protected.</t>
  </si>
  <si>
    <t>The intumescent paint fire protection coat will provide protection for 120 minutes.</t>
  </si>
  <si>
    <t>PRE-CAST CONCRETE</t>
  </si>
  <si>
    <t>Components</t>
  </si>
  <si>
    <t>The contractor is responsible for the design, manufacture, supply and installation of the structural pre-cast floors, stairs and elevator shafts.All manufacturers recommendations should be adhered to in terms of load bearing capacity and weight.</t>
  </si>
  <si>
    <t>Installation</t>
  </si>
  <si>
    <t>The rates include all necessary labour for erection. No plant has been allowed for in these rates. An allowance for a crane required for these works, is captured in the Preliminaries.</t>
  </si>
  <si>
    <t xml:space="preserve">All necessary labour and plant for the installation of the pre-cast members should be allowed for. </t>
  </si>
  <si>
    <t>All rates should include for working at height and the relevant safety measures should be specified.</t>
  </si>
  <si>
    <t>A passive fall arrest system has been allowed for within the erection cost.</t>
  </si>
  <si>
    <t>Cuts, Holes or Notches</t>
  </si>
  <si>
    <t>All relevant cuts, holes or notches for services are to be allowed for. This should include the necessary filling around penetration and making good once complete.</t>
  </si>
  <si>
    <t>Expansion Joints</t>
  </si>
  <si>
    <t>Reinforcement</t>
  </si>
  <si>
    <t>Cleaning</t>
  </si>
  <si>
    <t>Brick</t>
  </si>
  <si>
    <t>Band Course</t>
  </si>
  <si>
    <t>Steps</t>
  </si>
  <si>
    <t>Regulations</t>
  </si>
  <si>
    <t>Waste</t>
  </si>
  <si>
    <t>Plant</t>
  </si>
  <si>
    <t xml:space="preserve">All bricks are to be Birtley Olde English Brick with a 10mm mortar joint. </t>
  </si>
  <si>
    <t xml:space="preserve">As per decsription. </t>
  </si>
  <si>
    <t>Rates to include for a final jetwash of all brick/rendered surfaces before completion.</t>
  </si>
  <si>
    <t>Included within brick rates. Done 24 hours before hand over to the client.</t>
  </si>
  <si>
    <t>An allowance is to be made for expansion joints in the brick/block to allow for movement and settling.</t>
  </si>
  <si>
    <t>An expansion joint has been allowed for every 10m of brick/block and spans the full height of the building.</t>
  </si>
  <si>
    <t xml:space="preserve">An allowance should be made for bed joint reinforcement where openings occur and should be laid as work proceeds. </t>
  </si>
  <si>
    <t>Rates should include for supplying and fitting of Kingspan Thermawall TW50 insulant or other equal and approved; as partial cavity fill; including cutting and fitting around wall ties and retaining discs.</t>
  </si>
  <si>
    <t>An allowance should be made for any additional works involved with steps throughout the building.</t>
  </si>
  <si>
    <t>An allowance should be made for all brickwork below DPC.</t>
  </si>
  <si>
    <t xml:space="preserve">Rates include for three courses of brickwork below DPC. If more are required this will be subjected to a remeasure. </t>
  </si>
  <si>
    <t xml:space="preserve">All works and material detailed are priced in accordance of the British Standard Codes of Practice, Building Regulations and Health and Safety Legislation. </t>
  </si>
  <si>
    <t xml:space="preserve">All waste is to be disposed of in the correct manner and in accordance with waste management legislation. </t>
  </si>
  <si>
    <t xml:space="preserve">All rates should include for the provision of a forklift to safely transport pallets of bricks around the site. </t>
  </si>
  <si>
    <t>Not Included - Included in Preliminaries</t>
  </si>
  <si>
    <t>Scaffolding</t>
  </si>
  <si>
    <t xml:space="preserve">An allowance should be made for the supply of scaffolding to the external perimeter of the building. This should also include an allowance for loading bays and waste chutes. </t>
  </si>
  <si>
    <t>All rates include for laying air bricks, weep vents, cavity closures, wall ties, bed reinforcement and lintels as the brickwork proceeds.</t>
  </si>
  <si>
    <t>Setting Out</t>
  </si>
  <si>
    <t>All rates are to include for setting out all brickwork and blockwork as per the engineering drawings.</t>
  </si>
  <si>
    <t>Cutting</t>
  </si>
  <si>
    <t>All rates should reflect that bricks are to be wet cut using a bolster or mechanical saw. Bricks will then require to be cleaned and dried out before use. It is the contractors responsibility to ensure that safety procedures are adhered to when using this equipment.</t>
  </si>
  <si>
    <t>All window sills shown on the tender drawings should be allowed for in the specified material.</t>
  </si>
  <si>
    <t>Projections/Brick On Edge</t>
  </si>
  <si>
    <t>All brickwork projections or brick on edge should be accounted for as shown on the tender drawings.</t>
  </si>
  <si>
    <t>Temporary Protection</t>
  </si>
  <si>
    <t xml:space="preserve">All cut standing bricks should be provided with brick jackets to enable they have dry and stable conditions </t>
  </si>
  <si>
    <t>Bonding</t>
  </si>
  <si>
    <t xml:space="preserve">Where brickwork meets blockwork, an allowance should be made to allow for bonding between these areas. </t>
  </si>
  <si>
    <t xml:space="preserve">All brick and block rates include for the supply and use of mortar. Mortar will be stored in silos on site. All mortar joints are to be bucket handle finish. </t>
  </si>
  <si>
    <t>RENDERING</t>
  </si>
  <si>
    <t>Areas</t>
  </si>
  <si>
    <t>Rendering should only be allowed for where indicated on the elevation drawings and is to be champagne coloured K Render.</t>
  </si>
  <si>
    <t>Coats</t>
  </si>
  <si>
    <t>Two coats should be allowed for, a base and a top coat.</t>
  </si>
  <si>
    <t>A 15mm base coat and a 10mm top coat have been allowed for.</t>
  </si>
  <si>
    <t>Two rows of bed joint reinforcement have been allowed for beneath and above all openings and extending a minimum of 500mm beyond the structural opening as per the manufacturers recommendations.</t>
  </si>
  <si>
    <t>ROOF WORKS</t>
  </si>
  <si>
    <t>Material</t>
  </si>
  <si>
    <t xml:space="preserve">All roofs should be of aluminium standing seam construction and should include all stainless steel roof fasteners. </t>
  </si>
  <si>
    <t>Roof Edge Protection</t>
  </si>
  <si>
    <t>An allowance should be made for two large flat landscaped roofs. Inclusive of all vapour control barriers, insulation board, sedium blanket and growing medium.</t>
  </si>
  <si>
    <t>Landscaping Roofs</t>
  </si>
  <si>
    <t>All rates should include for two small flat roofs to be finished with a waterproofing membrane.</t>
  </si>
  <si>
    <t>An allowance has been made of a sarnafil polymeric waterproofing membrane.</t>
  </si>
  <si>
    <t>All rates shall include for the works being carried out at height with the necessary safety measures.</t>
  </si>
  <si>
    <t>Included. As previously stated, scaffolding is not included within these rates and is allowed for within the Preliminaries.</t>
  </si>
  <si>
    <t>Cavity Closures</t>
  </si>
  <si>
    <t>All rates shall include for the supply and fit of cavity closures to suit the 75mm cavity.</t>
  </si>
  <si>
    <t>All rates shall include for the installation of all windows, formers and cavity closures.</t>
  </si>
  <si>
    <t>EXTERNAL WINDOWS AND DOORS</t>
  </si>
  <si>
    <t>Tolerances</t>
  </si>
  <si>
    <t>All rates should include for windows to be triple glazed with pre-finished grey aluminium frames. Punched hole windows are to also feature espagnolette locking systems. DGU to be 1.30 U-value. 4-20-4 Optiwhite SV Optitherm S4 Argon filled or similar approved,</t>
  </si>
  <si>
    <t>Automated Sliding Doors</t>
  </si>
  <si>
    <t>The installation of all automatic sliding doors and their automated operation system should be included, including the connection to the electrical source.</t>
  </si>
  <si>
    <t>All windows should be delivered to site with film protection to protect the glass from any scratches or damages until final completion.</t>
  </si>
  <si>
    <t>JOINERY</t>
  </si>
  <si>
    <t>Mastic</t>
  </si>
  <si>
    <t>SCREEDS</t>
  </si>
  <si>
    <t>All rates shall be priced in accordance with BS EN 197-1 and BS EN 13139.</t>
  </si>
  <si>
    <t>Pre-Cast Floors</t>
  </si>
  <si>
    <t>Formwork</t>
  </si>
  <si>
    <t>All rates shall include for the required formwork to the perimeter of the pre-cast floors, including all fixings.</t>
  </si>
  <si>
    <t>Screed Finish</t>
  </si>
  <si>
    <t xml:space="preserve">All rates shall include an allowance for a base coat screed to all pre-cast concrete floors. This includes the levelling and making good. </t>
  </si>
  <si>
    <t>A 50mm screed to all pre-cast floors has been allowed for.</t>
  </si>
  <si>
    <t>An allowance should be made for a finishing screed to all communal areas and hallways.</t>
  </si>
  <si>
    <t>An Altro TB epoxy screed with primer has been allowed for.</t>
  </si>
  <si>
    <t>All rates include for the supply and fit of aluminium fascia and eaves detailing, complete with ST clips.</t>
  </si>
  <si>
    <t xml:space="preserve">All fixings required to carry out the works (nails, screws etc.) should be allowed for within the rates. </t>
  </si>
  <si>
    <t>Fire Protection</t>
  </si>
  <si>
    <t>Dust Extraction</t>
  </si>
  <si>
    <t>All rates shall include the supply and installation of fire protection barriers around all openings and roof levels.</t>
  </si>
  <si>
    <t>All rates shall include an allowance for necessary dust extraction when cutting materials.</t>
  </si>
  <si>
    <t>Doors</t>
  </si>
  <si>
    <t>Ironmongery</t>
  </si>
  <si>
    <t xml:space="preserve">All ironmongery should be tested after installation to ensure it is in the correct working order. If required lubricant such as WD-40 shall be provided. </t>
  </si>
  <si>
    <t>Skirting</t>
  </si>
  <si>
    <t>All rates shall include for skirting to the internal perimeter of each room. The first floor skirting should be set 5mm off the floor to assist with sound transmission. In rooms where carpet is to be installed (classrooms and lecture theatres), the skirting should be installed after the carpet is laid.</t>
  </si>
  <si>
    <t>Skirting has been allowed for in every room except for the kitchen or bathrooms.</t>
  </si>
  <si>
    <t>Balustrades and Handrails</t>
  </si>
  <si>
    <t xml:space="preserve">An allowance should be made for the provision of timber temporary handrails along the staircases until the final glass balustrades are installed. </t>
  </si>
  <si>
    <t>Plynths</t>
  </si>
  <si>
    <t xml:space="preserve">All rates shall include for a return visit to fit the kitchen plinths after the flooring has been installed. </t>
  </si>
  <si>
    <t>1676 mm × 2040 mm × 44 mm; FD60; intumescent strip/smoke seal</t>
  </si>
  <si>
    <t>All rates shall include for the supply and fit of all internal and external door kits, including the door linings, frames and relevant ironmongery. All classroom doors shall be fire-rated and complete with intumescent strips or smoke seals.</t>
  </si>
  <si>
    <t>Internal Blockwork</t>
  </si>
  <si>
    <t>An allowance should be made to include liners to internal blockwork walls to allow for the installation of plasterboards.</t>
  </si>
  <si>
    <t>External Sills</t>
  </si>
  <si>
    <t>Internal Sills</t>
  </si>
  <si>
    <t>An allowance should be made to supply and fit all internal wooden window sills as shown on the drawings. This includes ensuring they are plumb and square.</t>
  </si>
  <si>
    <t>Cubicles/IPS Systems</t>
  </si>
  <si>
    <t>Rates shall include for the supply and fit of all toilet cubicles and IPS systems to the bathrooms. Including hanging all doors and fitting their related ironmongery.</t>
  </si>
  <si>
    <t>An allowance should be made to fit the glass balustrades, aluminimum handrails and all support fixings after all the works is complete. This should also include the removal of the temporary timber handrails.</t>
  </si>
  <si>
    <t>Mirrors</t>
  </si>
  <si>
    <t xml:space="preserve">An allowance should be made to supply and fit all mirrors to bathrooms, including the adhesive. </t>
  </si>
  <si>
    <t>Included - Please refer to the BoQ for dimensions.</t>
  </si>
  <si>
    <t>Acoustic Panelling</t>
  </si>
  <si>
    <t>All rates shall include for the supply and fit of all acoustic panelling as shown on the design drawings. The rates are to include for all relevant cuts and associated fixings (screws).</t>
  </si>
  <si>
    <t>An allowance has been made for one feature wall per classroom. Please refer to the design drawings.</t>
  </si>
  <si>
    <t xml:space="preserve">All rates shall include for the supply and fit of all suspended ceilings. </t>
  </si>
  <si>
    <t>The rates include for a suspended ceiling above the toilet areas. An allowance has also been made for acoustic ceiling tiles above communal seating areas and acoustic ceiling rafts to all classroom ceilings. This includes their fixing and the required plugged hangers.</t>
  </si>
  <si>
    <t>Bathroom Accessories</t>
  </si>
  <si>
    <t>An allowance should be made for the provision and installation of all bathroom acessories where shown on the drawings.</t>
  </si>
  <si>
    <t xml:space="preserve">An allowance has been made for all shown hand dryers, a nappy changing unit and grab rails to all disabled toilets. </t>
  </si>
  <si>
    <t>Fixed Seating</t>
  </si>
  <si>
    <t>All rates should allow for the provision of fixed seating as shown on the design drawings. Including their installation into a fixed position using screws.</t>
  </si>
  <si>
    <t>Included as per the description in the BoQ.</t>
  </si>
  <si>
    <t>ELECTRICAL</t>
  </si>
  <si>
    <t>Lighting</t>
  </si>
  <si>
    <t>Appliances</t>
  </si>
  <si>
    <t>Air Conditioning/Heating Systems</t>
  </si>
  <si>
    <t>Consumer Units</t>
  </si>
  <si>
    <t>Testing</t>
  </si>
  <si>
    <t>Electrical Accessories and Fittings</t>
  </si>
  <si>
    <t>This includes the double oven, cooker hood, fridge freezer, dishwasher and microwave.</t>
  </si>
  <si>
    <t>Fibrenest</t>
  </si>
  <si>
    <t>All rates shall include for the supply and fix of all telephone points.</t>
  </si>
  <si>
    <t>All rates shall include for the supply and fix of all fibrenest points.</t>
  </si>
  <si>
    <t>All consumer units are to be supplied by BG Electrical Ltd.</t>
  </si>
  <si>
    <t>All rates shall allow for comprehensive inspecting and testing of all installations upon completion, ensuring certification of compliance with Wiring Regulations.</t>
  </si>
  <si>
    <t>Paperwork</t>
  </si>
  <si>
    <t>All rates include for the provision of information booklets and guarantees to the client upon completion.</t>
  </si>
  <si>
    <t xml:space="preserve">All electrical accessories and fittings are to be provided with temporary protection until the works are completion. </t>
  </si>
  <si>
    <t xml:space="preserve">All electrical accessories and fittings are to be standard white moulded with metal back boxes manufactured by BG Electrical Ltd. All fittings are to be provided with screw covers for easy access. All sockets/switches are to be a minimum of 25mm apart. All sockets are to be the switch type with a grid switch to the kitchen. </t>
  </si>
  <si>
    <t>Armoured Cables</t>
  </si>
  <si>
    <t>Trunking</t>
  </si>
  <si>
    <t xml:space="preserve">All necessary trunking should be allowed for and fixed securely to the ceilings. </t>
  </si>
  <si>
    <t>Galvanised steel trunking has been allowed for.</t>
  </si>
  <si>
    <t>All electrical and mechanical installation should be provided to both elevators and tested upon compeltion. A certificate of certification shall be provided once the full installation has been tested and approved. All relevant specifications and manuals detailing maintenance shall be provided to the client upon completion.</t>
  </si>
  <si>
    <t>All cables must be fixed at a minimum of 600mm. Where cables run through block walls, core drilling should be allowed for.</t>
  </si>
  <si>
    <t>Thermostats</t>
  </si>
  <si>
    <t>An allowance should be made for all rooms to be provided with thermostats.</t>
  </si>
  <si>
    <t>Smoke Alarm System</t>
  </si>
  <si>
    <t>All light bulbs, downlighters and spotlights are to be supplied by Green Lighting Ltd and are to be white finished. All light bulbs must be energy saving.</t>
  </si>
  <si>
    <t>Photovoltaic Panels</t>
  </si>
  <si>
    <t>An allowance should be made for all PV panels to be wired with AC cables from the roof directly to the consumer unit.</t>
  </si>
  <si>
    <t>Security System</t>
  </si>
  <si>
    <t>An allowance should be made for all necessary wiring to the security alarm system directly to the consumer unit.</t>
  </si>
  <si>
    <t xml:space="preserve">All wiring and connections of appliances are to be allowed for. Electrical appliance spurs to the kitchn are to be controlled via a master (multi) control panel switch. Drilling holes in the kitchen unit for appliance cables should be included. </t>
  </si>
  <si>
    <t xml:space="preserve">All smoke detectoras are to be green lighting PSM-P101 240v mains powered fast fix optical smoke detectors with battery backups. The smoke alarm system is to be mains operated and permanently wired to the distribution board on a fused circuit. </t>
  </si>
  <si>
    <t>All rates shall include for the wiring and connections to the consumer units. All ductwork is to be supplied by Greenwood Air Management Ltd. An allowance should be made to supply and fix all ducting for extract fans, including the connections to tile vents, drilling cole holes and the supply and fix of all external vent covers.</t>
  </si>
  <si>
    <t xml:space="preserve">All rates must include for a separate power supply to the fire sprinkler pump and to the fire sprinkler alarms. </t>
  </si>
  <si>
    <t>PLUMBING</t>
  </si>
  <si>
    <t>Rain Water Goods</t>
  </si>
  <si>
    <t>PVC Pipes</t>
  </si>
  <si>
    <t>All internal plastic PVC pipes are to be Hep 20 plastics supplied by Wavin Plastics Ltd.</t>
  </si>
  <si>
    <t>All kitchen taps must be STH Westco Araya long neck sink mixers.</t>
  </si>
  <si>
    <t xml:space="preserve">All external RWG are to be black aluminium with a powder coated finish. All RWG must comply with the British Standard Codes of Practice. All gutters muct be half round with fascia brackets and matching round section fall pipes of adequate size and capacity. All rates must include stop ends, running outlets,and all appropriate fixings to match. Downpipe bracket screws to be 40mm x 6mm round head. </t>
  </si>
  <si>
    <t>Hot and Cold Pipework</t>
  </si>
  <si>
    <t>All rates should allow for pipework leading to sinks, basins, water fountains, toilet services and must require cut off valves, the tyoe that require a screwdriver to turn on and off.</t>
  </si>
  <si>
    <t xml:space="preserve">All rates must include for the provision of FR WC/Sink protection boxes and bubblewrap to all taps until the building is completed and in use. </t>
  </si>
  <si>
    <t>Water Mains Supply</t>
  </si>
  <si>
    <t>All rates must allow for the incoming water mains supply.</t>
  </si>
  <si>
    <t>All rates must include for the supply and installation of all sanitary appliances as specified in the design. All fittings and appliances are to be Ideal Standard and part of the iLife range. All toilets must have soft close toilet seats.</t>
  </si>
  <si>
    <t>Roof Outlets</t>
  </si>
  <si>
    <t>An allowance must be made for all roof drainage outlet connections.</t>
  </si>
  <si>
    <t>DRYLINING</t>
  </si>
  <si>
    <t>Fixing</t>
  </si>
  <si>
    <t xml:space="preserve">15mm Gyproc SoundBloc tapered edge plasterboard has been allowed for. All walls in every room have been allowed for. Only the ceilings in the lecture theatresm stairs, stores and kitchen are to be plasterboarded. Every other room is to feature suspended ceilings. </t>
  </si>
  <si>
    <t>All rates should include for the supply and fix of Gyproc SoundBloc tapered edge plasterboard. All walls and ceiling on every room should be allowed for.</t>
  </si>
  <si>
    <t>An allowance should be made for all plasterboards to be fixed by screws to the metal stud partitions. All rates should include for boards to be taped, patched and all joints filled to ensure a flat smooth surface. All joints are to be filled using Gyproc joint filler to fill all tapered edge joints and angles together with screws, ensuring the filler is correctly mixed and applied to the manufacturer's recommended working times.</t>
  </si>
  <si>
    <t xml:space="preserve">All rates must include for plasterboard waste to be disposed of within plasterboard bags. </t>
  </si>
  <si>
    <t>INSULATION</t>
  </si>
  <si>
    <t xml:space="preserve">All internal cavity insulation to be Isover APR and to be pinned directly to the plasterboards. All external wall cavity insulation is to be Kingspan Thermawall TW50 boards. </t>
  </si>
  <si>
    <t>An allowance has been made for 50mm internal and 75mm external cavity insulation</t>
  </si>
  <si>
    <t>SPRINKLERS</t>
  </si>
  <si>
    <t xml:space="preserve">An allowance should be made for the recommended number of sprinkler heads per room. </t>
  </si>
  <si>
    <t>Included. Any additional appliances or fittings required will be at an additional rate.</t>
  </si>
  <si>
    <t>All works must be carried out in line with BS9251:2021, British Standards, Building Regulations, Fire Authority and Water Authority.</t>
  </si>
  <si>
    <r>
      <t xml:space="preserve">A maximum gap of 3mm between the door leaf and frame at the head and down each jamb should be allowed. Any more than this will not be accepted. Curtain walling should have a maximum deviation of </t>
    </r>
    <r>
      <rPr>
        <sz val="10"/>
        <color theme="1"/>
        <rFont val="Calibri"/>
        <family val="2"/>
      </rPr>
      <t>±</t>
    </r>
    <r>
      <rPr>
        <i/>
        <sz val="10"/>
        <color theme="1"/>
        <rFont val="Arial"/>
        <family val="2"/>
      </rPr>
      <t>1.5mm in any storey height or structural bay width.</t>
    </r>
  </si>
  <si>
    <t>Water Supply</t>
  </si>
  <si>
    <t xml:space="preserve">The contractor should allow to connect to the 32mm water supply pipe and install a single check valve within 100mm of the branch connection point of the fire sprinkler supply to prevent backflow of stagnant water containing the domestic supply. </t>
  </si>
  <si>
    <t xml:space="preserve">The contractor is responsible for the design of the sprinkler system and must provide the client with all as-built drawings, fitting schedules and hydraulic calculations along with certificates for the installation and commissioning of the system. Instruction leaflets and handbooks should also be provided for all parts that will require maintenance i.e. booster pumps, alarm devices, valves and sprinkler heads or water mist nozzles. An allowance should also be made for the design to meet the local water authority's requirements particularly with regards to both the flow and pressure. Water supplies should be calculated based on providing water to mist nozzles operating continuously for 10 minutes.All proposed design layouts should avoid other ceiling mounted services. A pressure gauge it to be fitted to the sprinkler supply pipe of direct feed systems between the incoming supply and the pump. All specified pumps should come with a fault alarm and automated test facility. </t>
  </si>
  <si>
    <t>DECORATION</t>
  </si>
  <si>
    <t>Walls and Ceilings</t>
  </si>
  <si>
    <t>Woodwork</t>
  </si>
  <si>
    <t>Touch Ups</t>
  </si>
  <si>
    <t>The contractor should make an allowance for any necessary touch ups as the work proceeds.</t>
  </si>
  <si>
    <t xml:space="preserve">The contractor has allowed for any touch ups due to the paint not settling properly or at the fault of the contractor. After completion, the contractor will not be responsible for any required touch ups or damages. </t>
  </si>
  <si>
    <t>Internal doors</t>
  </si>
  <si>
    <t>All rates should include for painting the internal doors.</t>
  </si>
  <si>
    <t>N/A - the contractor has allowed for pre-finished doors.</t>
  </si>
  <si>
    <t>All rates should allow for all paint to be Dulux. Dulux trade undercoat in white - Product code 5183993. Dulux trade high gloss - Product code 5091012. Dulux trade supermatt emulsion - Multicolours.</t>
  </si>
  <si>
    <t xml:space="preserve">All wood surfaces such as architraves and skirting are to receive two coats of undercoats and one coat of gloss. All woodwork is to be primed prior to being delivered to site. All rates include for normal nail hole filling to timberwork. Flexible acrylic sealant (decorators caulk), should be used to fill joints around door frames, skirtings, architraves, kitchen worktops, up stands and the like. </t>
  </si>
  <si>
    <t xml:space="preserve">All rates should include for walls and ceilings to receive two coats of emulsion. </t>
  </si>
  <si>
    <t xml:space="preserve">Included. An allowance has been made for the final coat to be carried out at a later date. This is to help mitigate any unnecessary repaints, daywork costs and ecessive making good. </t>
  </si>
  <si>
    <t xml:space="preserve">All rates shall include the provision of temporary coverings to sanitaryware, fittings, appliances and floors to prevent them from any paint damage. </t>
  </si>
  <si>
    <t>External Doors</t>
  </si>
  <si>
    <t>An allowance should be made to paint all external doors with an appropriate weather proofed paint.</t>
  </si>
  <si>
    <t>N/A - the contractor has allowed for pre-finished panelled doors.</t>
  </si>
  <si>
    <t xml:space="preserve">All rates shall include for working at height and the use of ladders, trestles etc. </t>
  </si>
  <si>
    <t>Preparation</t>
  </si>
  <si>
    <t xml:space="preserve">All rates should include for surfaces to be prepped before any decoration works. This includes brushing, sanding, scraping etc. </t>
  </si>
  <si>
    <t>All rates should include for a final clean of all surfaces, leaving the premises clean, tidy and free of paint splashes.</t>
  </si>
  <si>
    <t>WALL TILING</t>
  </si>
  <si>
    <t>Adhesive</t>
  </si>
  <si>
    <t>Grout</t>
  </si>
  <si>
    <t>All tile adhesive should be BAL White Star waterproof.</t>
  </si>
  <si>
    <t>Edging</t>
  </si>
  <si>
    <t>All rates shall include for edging strips in a colour to suit the tiles.</t>
  </si>
  <si>
    <t>An allowance has been made for all tiling strips to be white.</t>
  </si>
  <si>
    <t xml:space="preserve">Tiles are only allowed for in bathrooms as shown on the deisgn drawings. The contractor has not allowed for any tiles to the kitchen or window sills. </t>
  </si>
  <si>
    <t>All rates should allow for all tiled areas shown on the design drawings. All tiles should be white gloss. All tiles should be free from latence, grease, loose material or any substance likely to affecr the performance or appearance of the tiles.</t>
  </si>
  <si>
    <t>All grout shall be BAL White Star. All joint between the tiles shall be consistent in thickness and all cuttingshould be neatly and accurately executed.</t>
  </si>
  <si>
    <t>All rates shall include for mastic to the perimeter of the tiled areas.</t>
  </si>
  <si>
    <t>MASTIC</t>
  </si>
  <si>
    <t>Allowances</t>
  </si>
  <si>
    <t>Only allowed for in Empire Construction's tender where specifically listed in the tender submission. Where the item of works is not listed, the works are not included. Mastic has been allowed for internally and externally around all opening,above skirting and around architraves. No allowance has been made for any mastic around tiled areas or kitchen splashbacks.</t>
  </si>
  <si>
    <t>Working Temperature</t>
  </si>
  <si>
    <r>
      <t>Due to the sensitivity of cementitious materials to extreme temperatures, the contractor may, without incurring any liability to the client, suspend work if and so long as the ambient or substrate temperature drops below 5</t>
    </r>
    <r>
      <rPr>
        <sz val="10"/>
        <color theme="1"/>
        <rFont val="Calibri"/>
        <family val="2"/>
      </rPr>
      <t>°</t>
    </r>
    <r>
      <rPr>
        <i/>
        <sz val="10"/>
        <color theme="1"/>
        <rFont val="Arial"/>
        <family val="2"/>
      </rPr>
      <t>C or rises above 30</t>
    </r>
    <r>
      <rPr>
        <sz val="10"/>
        <color theme="1"/>
        <rFont val="Calibri"/>
        <family val="2"/>
      </rPr>
      <t>°</t>
    </r>
    <r>
      <rPr>
        <i/>
        <sz val="10"/>
        <color theme="1"/>
        <rFont val="Arial"/>
        <family val="2"/>
      </rPr>
      <t>C.</t>
    </r>
  </si>
  <si>
    <r>
      <t>All quantities are based on one sprinkler head per 12m</t>
    </r>
    <r>
      <rPr>
        <sz val="11"/>
        <color theme="1"/>
        <rFont val="Calibri"/>
        <family val="2"/>
      </rPr>
      <t>²</t>
    </r>
    <r>
      <rPr>
        <i/>
        <sz val="11"/>
        <color theme="1"/>
        <rFont val="Arial"/>
        <family val="2"/>
      </rPr>
      <t>, subject to the room being great then 5m</t>
    </r>
    <r>
      <rPr>
        <sz val="11"/>
        <color theme="1"/>
        <rFont val="Calibri"/>
        <family val="2"/>
      </rPr>
      <t>²</t>
    </r>
    <r>
      <rPr>
        <i/>
        <sz val="11"/>
        <color theme="1"/>
        <rFont val="Arial"/>
        <family val="2"/>
      </rPr>
      <t>. Any additional sprinkler heads required will be at an additional rate.</t>
    </r>
  </si>
  <si>
    <t>An allowance should be made for mastic around all external and internal opening, architraves, skirtings, splashbacks and tiled areas. All internal mastic should be 8mm thick. Any external mastic should be 12mm thick and Polysulphide non-setting mastic.</t>
  </si>
  <si>
    <t>KITCHEN/APPLIANCES</t>
  </si>
  <si>
    <t>All rates must include the installation of all kitchen units and all listed appliances.</t>
  </si>
  <si>
    <t>Single Visit</t>
  </si>
  <si>
    <t>All rates are based on goods being installed in a single visit and if the goods cannot be installed due to a reason not in the contractor's control, then the client will be liable for a revisit charge.</t>
  </si>
  <si>
    <t>Plinths</t>
  </si>
  <si>
    <t xml:space="preserve">An allowance should be made for the carpenters to fit kitchen plinths after the kitchen units and floor have been installed. </t>
  </si>
  <si>
    <t>Boxing in Pipes</t>
  </si>
  <si>
    <t>An allowance should be made to box in any visible pipes within the kitchen area.</t>
  </si>
  <si>
    <t>Appliances/Fittings</t>
  </si>
  <si>
    <t xml:space="preserve">The contractor has allowed to supply and install the kitchen sink and taps, fridge freezer, cooker with hobs, cooker hood, integrated microwave and integrated dishwasher. </t>
  </si>
  <si>
    <t xml:space="preserve">Temporary Protection </t>
  </si>
  <si>
    <t>An allowance should be made to cover all kitchen units, worktops and appliances in non-fire retardant Proplex protection until completion of the project.</t>
  </si>
  <si>
    <t>Kitchen Units and Worktop</t>
  </si>
  <si>
    <t>All rates shall icnlude for a 18mm base unit carcass, end panels and corner posts. Kitchen worktops are to be 40mm premium 3mm tight edge with 650mm deep to wets runs to accommodate appliances.</t>
  </si>
  <si>
    <t xml:space="preserve">The contractor should allow for all relevant appliances as listed within the design. This should include their connection to services and any holes that will need to be drilled through units. </t>
  </si>
  <si>
    <t>FLOORING</t>
  </si>
  <si>
    <t>All flooring should be allowed for as indicated on the design drawings.</t>
  </si>
  <si>
    <t>Carpet tiles have been allowed for to all lecture theatres and classrooms. Slip resistant vinyl has been allowed for to the kitchen area. All other communal areas are to feature epoxy screed.</t>
  </si>
  <si>
    <t>Cuts</t>
  </si>
  <si>
    <t>An allowance should be made for all flooring to be cut and all grooves/angles considered.</t>
  </si>
  <si>
    <t>Entrance Mats</t>
  </si>
  <si>
    <t>The contractor shall allow for two entrance mats in front of either automated door.</t>
  </si>
  <si>
    <t>An allowance for two gradus topguard mats has been included.</t>
  </si>
  <si>
    <t>Once installed the contractor should provide temporary floor protection cloth to all areas feature carpet or vinyl until project completion.</t>
  </si>
  <si>
    <t>SOLAR PANELS</t>
  </si>
  <si>
    <t xml:space="preserve">An allowance should be made for the supply and installation of the PV panel mounting system and all necessary fixings and flashings. </t>
  </si>
  <si>
    <t>An allowance should be made for an area of solar panels as indicated on the design drawings. Solar panels should be Voltacon solar panel 420W half-cut 108 cells monocrystalline and should include all electrical installation. All DC cables are to be supplied, connected and are to enter the roof space in line with the manufacturer's recommendations. DC leads are to be isolated in MC4 connectors for the period between panel installation and array comissioning. All DC connectors are to be genuine Staubli MC4 connectors.</t>
  </si>
  <si>
    <t>An allowance must be made for MCS certificates to be provided to the client no latter than 5 working dats after the installation is comissioned.</t>
  </si>
  <si>
    <t>Certification</t>
  </si>
  <si>
    <t>The installation is to comply with all the relevant legislation including BS7671:2008, Part P of the Building Regulations, the current Wiring Regulations and connection to the energy network G98 and G99, BS EN 61215 for Crystalline PV modules, EN 60439-1 for PV arra junction boxes and switch gear assemblies.</t>
  </si>
  <si>
    <t xml:space="preserve">All rates are current rates for Q2 2023 and are all based on today's market prices. All rates are held for 6 months and will be reviewed at that date. All rates are specific to the site location and all deliveries have been priced to this address. If deliveries cannot be made to this location for reasons in which the client is responsible, then the client may be subjected to additional delivery charges. </t>
  </si>
  <si>
    <t>Proposed Ground Floor and Front Elevation 05</t>
  </si>
  <si>
    <t>A</t>
  </si>
  <si>
    <t>Proposed First Floor and Rear Elevation 02</t>
  </si>
  <si>
    <t>Proposed Side Elevations, Sections and 3D Views 03</t>
  </si>
  <si>
    <t>Proposed Block Plan and 3D Views 04</t>
  </si>
  <si>
    <t>6013-EMP-XXX-00-DR-S-0010</t>
  </si>
  <si>
    <t>6013-EMP-XX-00-DR-S-0011</t>
  </si>
  <si>
    <t>6013-EMP-XX-00-DR-S-0001</t>
  </si>
  <si>
    <t>6013-EMP-XX-00-DR-S-0013</t>
  </si>
  <si>
    <t>Allowed for every 10m and for the full building height</t>
  </si>
  <si>
    <t>20% allowance</t>
  </si>
  <si>
    <t>Includes all labour required. Crane - Prelims</t>
  </si>
  <si>
    <t>Only to flat roofs</t>
  </si>
  <si>
    <t>Recommended to stop water ingress</t>
  </si>
  <si>
    <t>To all roofs</t>
  </si>
  <si>
    <t xml:space="preserve">2 layers </t>
  </si>
  <si>
    <t>100 mm partition; 70 mm studs and channels; two layers of 15 mm Gyproc Wallboard each side; joints filled with joint filler and joint tape to receive direct decoration</t>
  </si>
  <si>
    <t>Not allowed for in bathrooms or the kitchen</t>
  </si>
  <si>
    <t>To the kitchen</t>
  </si>
  <si>
    <t>Main entrance and exit doors</t>
  </si>
  <si>
    <t>All classroom and service room doors</t>
  </si>
  <si>
    <t>Bathroom and store doors</t>
  </si>
  <si>
    <t>To the free standing edge of the dogleg staircase</t>
  </si>
  <si>
    <t>Above bathroom sinks</t>
  </si>
  <si>
    <t>To all communal areas and hallways</t>
  </si>
  <si>
    <t>To all classrooms and lecture theatres</t>
  </si>
  <si>
    <t>To the kitchen only</t>
  </si>
  <si>
    <t>To the areas above the links, below the mirros</t>
  </si>
  <si>
    <t>One feature wall per classroom</t>
  </si>
  <si>
    <t>To all classroom ceilings</t>
  </si>
  <si>
    <t>Above all seating areas in communal spaces</t>
  </si>
  <si>
    <t>To all toilet/store areas on the ground floor</t>
  </si>
  <si>
    <t>To the external cavity</t>
  </si>
  <si>
    <t>Two allowed per floor</t>
  </si>
  <si>
    <t>To every disabled toilet</t>
  </si>
  <si>
    <t xml:space="preserve">Allowed for very 500mm </t>
  </si>
  <si>
    <t>Allowed for every 500mm</t>
  </si>
  <si>
    <t>Allowed for every 2.4m</t>
  </si>
  <si>
    <r>
      <t>Allowed for every 12m</t>
    </r>
    <r>
      <rPr>
        <sz val="10"/>
        <color theme="1"/>
        <rFont val="Calibri"/>
        <family val="2"/>
      </rPr>
      <t>²</t>
    </r>
  </si>
  <si>
    <t>Two per floor</t>
  </si>
  <si>
    <t>One per floor</t>
  </si>
  <si>
    <t>Allowed for above every sliding door</t>
  </si>
  <si>
    <t>To all classrooms</t>
  </si>
  <si>
    <t>To all lecture threatres</t>
  </si>
  <si>
    <t>To all toilets and store rooms</t>
  </si>
  <si>
    <t>Three per floor</t>
  </si>
  <si>
    <t>42.1.1</t>
  </si>
  <si>
    <t>42.1.1.1</t>
  </si>
  <si>
    <t>42.1.2</t>
  </si>
  <si>
    <t>42.1.2.1</t>
  </si>
  <si>
    <t>42.1.2.2</t>
  </si>
  <si>
    <t>42.1.3</t>
  </si>
  <si>
    <t>42.1.3.1</t>
  </si>
  <si>
    <t>42.1.3.2</t>
  </si>
  <si>
    <t>42.1.3.3</t>
  </si>
  <si>
    <t>42.1.4</t>
  </si>
  <si>
    <t>42.1.4.1</t>
  </si>
  <si>
    <t>42.2.1</t>
  </si>
  <si>
    <t>42.2.1.1</t>
  </si>
  <si>
    <t>42.2.2</t>
  </si>
  <si>
    <t>42.2.2.1</t>
  </si>
  <si>
    <t>42.2.2.2</t>
  </si>
  <si>
    <t>42.2.3</t>
  </si>
  <si>
    <t>42.2.3.1</t>
  </si>
  <si>
    <t>42.2.3.2</t>
  </si>
  <si>
    <t>42.2.3.3</t>
  </si>
  <si>
    <t>42.2.4</t>
  </si>
  <si>
    <t>42.2.4.1</t>
  </si>
  <si>
    <t>42.2.5</t>
  </si>
  <si>
    <t>42.2.5.1</t>
  </si>
  <si>
    <t>42.2.5.2</t>
  </si>
  <si>
    <t>42.2.5.3</t>
  </si>
  <si>
    <t>42.3.1</t>
  </si>
  <si>
    <t>42.3.1.1</t>
  </si>
  <si>
    <t>42.3.2</t>
  </si>
  <si>
    <t>42.3.2.1</t>
  </si>
  <si>
    <t>42.3.2.2</t>
  </si>
  <si>
    <t>42.3.2.3</t>
  </si>
  <si>
    <t>42.3.3</t>
  </si>
  <si>
    <t>42.3.3.1</t>
  </si>
  <si>
    <t>42.3.4</t>
  </si>
  <si>
    <t>42.3.4.1</t>
  </si>
  <si>
    <t>42.3.4.2</t>
  </si>
  <si>
    <t>42.3.5</t>
  </si>
  <si>
    <t>42.3.5.1</t>
  </si>
  <si>
    <t>42.3.6</t>
  </si>
  <si>
    <t>42.3.6.1</t>
  </si>
  <si>
    <t>42.3.7</t>
  </si>
  <si>
    <t>42.3.7.1</t>
  </si>
  <si>
    <t>42.3.8</t>
  </si>
  <si>
    <t>42.3.8.1</t>
  </si>
  <si>
    <t>42.3.8.2</t>
  </si>
  <si>
    <t>43.4.1</t>
  </si>
  <si>
    <t>43.4.1.1</t>
  </si>
  <si>
    <t>43.4.2</t>
  </si>
  <si>
    <t>43.4.2.1</t>
  </si>
  <si>
    <t>43.4.2.2</t>
  </si>
  <si>
    <t>43.4.3</t>
  </si>
  <si>
    <t>43.4.3.1</t>
  </si>
  <si>
    <t>43.4.3.2</t>
  </si>
  <si>
    <t>43.4.3.3</t>
  </si>
  <si>
    <t>43.4.4</t>
  </si>
  <si>
    <t>43.4.4.1</t>
  </si>
  <si>
    <t>43.4.4.2</t>
  </si>
  <si>
    <t>43.4.4.3</t>
  </si>
  <si>
    <t>43.4.4.4</t>
  </si>
  <si>
    <t>43.4.4.5</t>
  </si>
  <si>
    <t>43.4.4.6</t>
  </si>
  <si>
    <t>43.4.5</t>
  </si>
  <si>
    <t>43.4.5.1</t>
  </si>
  <si>
    <t>43.4.6</t>
  </si>
  <si>
    <t>43.4.6.1</t>
  </si>
  <si>
    <t>43.4.7</t>
  </si>
  <si>
    <t>43.4.7.1</t>
  </si>
  <si>
    <t>43.4.7.2</t>
  </si>
  <si>
    <t>43.11.1</t>
  </si>
  <si>
    <t>43.11.1.1</t>
  </si>
  <si>
    <t>44.1.1</t>
  </si>
  <si>
    <t>44.1.1.1</t>
  </si>
  <si>
    <t>44.1.1.2</t>
  </si>
  <si>
    <t>44.1.1.3</t>
  </si>
  <si>
    <t>44.1.2</t>
  </si>
  <si>
    <t>44.1.2.1</t>
  </si>
  <si>
    <t>44.1.3</t>
  </si>
  <si>
    <t>44.1.3.1</t>
  </si>
  <si>
    <t>44.1.4</t>
  </si>
  <si>
    <t>44.1.4.1</t>
  </si>
  <si>
    <t>44.1.4.2</t>
  </si>
  <si>
    <t>44.1.5</t>
  </si>
  <si>
    <t>44.1.5.1</t>
  </si>
  <si>
    <t>44.2.1</t>
  </si>
  <si>
    <t>44.2.1.1</t>
  </si>
  <si>
    <t>44.2.1.2</t>
  </si>
  <si>
    <t>44.2.1.3</t>
  </si>
  <si>
    <t>44.3.1</t>
  </si>
  <si>
    <t>44.3.1.1</t>
  </si>
  <si>
    <t>44.3.1.2</t>
  </si>
  <si>
    <t>44.3.1.3</t>
  </si>
  <si>
    <t>44.4.1</t>
  </si>
  <si>
    <t>44.4.1.1</t>
  </si>
  <si>
    <t>44.4.1.2</t>
  </si>
  <si>
    <t>44.4.1.3</t>
  </si>
  <si>
    <t>44.4.1.4</t>
  </si>
  <si>
    <t>44.4.1.5</t>
  </si>
  <si>
    <t>44.4.2</t>
  </si>
  <si>
    <t>44.4.2.1</t>
  </si>
  <si>
    <t>44.5.1</t>
  </si>
  <si>
    <t>44.5.1.1</t>
  </si>
  <si>
    <t>44.6.1</t>
  </si>
  <si>
    <t>44.6.1.1</t>
  </si>
  <si>
    <t>44.6.2</t>
  </si>
  <si>
    <t>44.6.2.1</t>
  </si>
  <si>
    <t>44.7.1</t>
  </si>
  <si>
    <t>44.7.1.1</t>
  </si>
  <si>
    <t>44.7.1.2</t>
  </si>
  <si>
    <t>44.8.1</t>
  </si>
  <si>
    <t>44.8.1.1</t>
  </si>
  <si>
    <t>44.8.1.2</t>
  </si>
  <si>
    <t>44.8.1.3</t>
  </si>
  <si>
    <t>44.8.1.4</t>
  </si>
  <si>
    <t>44.8.1.5</t>
  </si>
  <si>
    <t>44.8.1.6</t>
  </si>
  <si>
    <t>44.8.1.7</t>
  </si>
  <si>
    <t>44.9.1</t>
  </si>
  <si>
    <t>44.9.1.1</t>
  </si>
  <si>
    <t>44.9.1.2</t>
  </si>
  <si>
    <t>44.9.1.3</t>
  </si>
  <si>
    <t>44.10.1</t>
  </si>
  <si>
    <t>44.10.1.1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</si>
</sst>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164" formatCode="\£#,##0.00;[Red]\-\£#,##0.00"/>
    <numFmt numFmtId="165" formatCode="#,##0.00_ ;[Red]\-#,##0.00\ "/>
    <numFmt numFmtId="166" formatCode="#,##0_ ;[Red]\-#,##0\ "/>
  </numFmts>
  <fonts count="27" x14ac:knownFonts="1">
    <font>
      <sz val="11"/>
      <color theme="1"/>
      <name val="Calibri"/>
      <family val="2"/>
      <scheme val="minor"/>
    </font>
    <font>
      <b/>
      <sz val="14"/>
      <color theme="1"/>
      <name val="Arial"/>
      <family val="2"/>
    </font>
    <font>
      <b/>
      <sz val="10"/>
      <color theme="1"/>
      <name val="Arial"/>
      <family val="2"/>
    </font>
    <font>
      <sz val="11"/>
      <color theme="1"/>
      <name val="Arial"/>
      <family val="2"/>
    </font>
    <font>
      <b/>
      <sz val="11"/>
      <color theme="1"/>
      <name val="Arial"/>
      <family val="2"/>
    </font>
    <font>
      <b/>
      <u/>
      <sz val="11"/>
      <color theme="1"/>
      <name val="Arial"/>
      <family val="2"/>
    </font>
    <font>
      <b/>
      <u/>
      <sz val="20"/>
      <color theme="1"/>
      <name val="Arial"/>
      <family val="2"/>
    </font>
    <font>
      <i/>
      <sz val="10"/>
      <color theme="1"/>
      <name val="Arial"/>
      <family val="2"/>
    </font>
    <font>
      <i/>
      <sz val="11"/>
      <color theme="1"/>
      <name val="Arial"/>
      <family val="2"/>
    </font>
    <font>
      <b/>
      <i/>
      <u/>
      <sz val="10"/>
      <color theme="1"/>
      <name val="Arial"/>
      <family val="2"/>
    </font>
    <font>
      <sz val="11"/>
      <color rgb="FFFF0000"/>
      <name val="Arial"/>
      <family val="2"/>
    </font>
    <font>
      <b/>
      <i/>
      <sz val="11"/>
      <color theme="1"/>
      <name val="Arial"/>
      <family val="2"/>
    </font>
    <font>
      <b/>
      <i/>
      <u/>
      <sz val="11"/>
      <color theme="1"/>
      <name val="Arial"/>
      <family val="2"/>
    </font>
    <font>
      <b/>
      <sz val="12"/>
      <color theme="1"/>
      <name val="Arial"/>
      <family val="2"/>
    </font>
    <font>
      <sz val="10"/>
      <color theme="1"/>
      <name val="Arial"/>
      <family val="2"/>
    </font>
    <font>
      <i/>
      <sz val="11"/>
      <color rgb="FFFF0000"/>
      <name val="Arial"/>
      <family val="2"/>
    </font>
    <font>
      <b/>
      <sz val="12"/>
      <color theme="1"/>
      <name val="Brush Script MT"/>
      <family val="4"/>
    </font>
    <font>
      <sz val="8"/>
      <name val="Calibri"/>
      <family val="2"/>
      <scheme val="minor"/>
    </font>
    <font>
      <sz val="11"/>
      <color theme="1"/>
      <name val="Calibri"/>
      <family val="2"/>
      <scheme val="minor"/>
    </font>
    <font>
      <sz val="10"/>
      <name val="Arial"/>
      <family val="2"/>
    </font>
    <font>
      <u/>
      <sz val="10"/>
      <color theme="1"/>
      <name val="Arial"/>
      <family val="2"/>
    </font>
    <font>
      <b/>
      <sz val="11"/>
      <color theme="1"/>
      <name val="Calibri"/>
      <family val="2"/>
      <scheme val="minor"/>
    </font>
    <font>
      <sz val="12"/>
      <color theme="1"/>
      <name val="Arial"/>
      <family val="2"/>
    </font>
    <font>
      <i/>
      <sz val="11"/>
      <name val="Arial"/>
      <family val="2"/>
    </font>
    <font>
      <sz val="10"/>
      <color theme="1"/>
      <name val="Calibri"/>
      <family val="2"/>
    </font>
    <font>
      <b/>
      <i/>
      <sz val="10"/>
      <color theme="1"/>
      <name val="Arial"/>
      <family val="2"/>
    </font>
    <font>
      <sz val="11"/>
      <color theme="1"/>
      <name val="Calibri"/>
      <family val="2"/>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23">
    <border>
      <left/>
      <right/>
      <top/>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44" fontId="18" fillId="0" borderId="0" applyFont="0" applyFill="0" applyBorder="0" applyAlignment="0" applyProtection="0"/>
  </cellStyleXfs>
  <cellXfs count="215">
    <xf numFmtId="0" fontId="0" fillId="0" borderId="0" xfId="0"/>
    <xf numFmtId="0" fontId="0" fillId="0" borderId="0" xfId="0" applyAlignment="1">
      <alignment wrapText="1"/>
    </xf>
    <xf numFmtId="0" fontId="1" fillId="0" borderId="0" xfId="0" applyFont="1" applyAlignment="1">
      <alignment horizontal="left"/>
    </xf>
    <xf numFmtId="0" fontId="2" fillId="0" borderId="0" xfId="0" applyFont="1"/>
    <xf numFmtId="0" fontId="3" fillId="0" borderId="0" xfId="0" applyFont="1" applyAlignment="1">
      <alignment horizontal="left"/>
    </xf>
    <xf numFmtId="0" fontId="1" fillId="0" borderId="0" xfId="0" applyFont="1"/>
    <xf numFmtId="0" fontId="3" fillId="0" borderId="2" xfId="0" applyFont="1" applyBorder="1" applyAlignment="1">
      <alignment horizontal="left" wrapText="1"/>
    </xf>
    <xf numFmtId="0" fontId="3" fillId="0" borderId="0" xfId="0" applyFont="1"/>
    <xf numFmtId="0" fontId="3" fillId="0" borderId="0" xfId="0" applyFont="1" applyAlignment="1">
      <alignment wrapText="1"/>
    </xf>
    <xf numFmtId="0" fontId="1" fillId="0" borderId="0" xfId="0" applyFont="1" applyAlignment="1">
      <alignment horizontal="right"/>
    </xf>
    <xf numFmtId="0" fontId="3" fillId="0" borderId="0" xfId="0" applyFont="1" applyAlignment="1">
      <alignment horizontal="right"/>
    </xf>
    <xf numFmtId="0" fontId="2" fillId="0" borderId="3" xfId="0" applyFont="1" applyBorder="1" applyAlignment="1">
      <alignment horizontal="left"/>
    </xf>
    <xf numFmtId="0" fontId="2" fillId="0" borderId="3" xfId="0" applyFont="1" applyBorder="1" applyAlignment="1">
      <alignment horizontal="right"/>
    </xf>
    <xf numFmtId="0" fontId="6" fillId="0" borderId="0" xfId="0" applyFont="1" applyAlignment="1">
      <alignment vertical="center"/>
    </xf>
    <xf numFmtId="0" fontId="7" fillId="0" borderId="0" xfId="0" applyFont="1" applyAlignment="1">
      <alignment vertical="center" wrapText="1"/>
    </xf>
    <xf numFmtId="0" fontId="8" fillId="0" borderId="0" xfId="0" applyFont="1" applyAlignment="1">
      <alignment vertical="center" wrapText="1"/>
    </xf>
    <xf numFmtId="0" fontId="3" fillId="0" borderId="0" xfId="0" applyFont="1" applyAlignment="1">
      <alignment vertical="center"/>
    </xf>
    <xf numFmtId="0" fontId="9" fillId="0" borderId="0" xfId="0" applyFont="1" applyAlignment="1">
      <alignment vertical="center" wrapText="1"/>
    </xf>
    <xf numFmtId="0" fontId="4" fillId="0" borderId="0" xfId="0" applyFont="1" applyAlignment="1">
      <alignment vertical="center"/>
    </xf>
    <xf numFmtId="0" fontId="7" fillId="0" borderId="3" xfId="0" applyFont="1" applyBorder="1" applyAlignment="1">
      <alignment vertical="center" wrapText="1"/>
    </xf>
    <xf numFmtId="0" fontId="8" fillId="0" borderId="3" xfId="0" applyFont="1" applyBorder="1" applyAlignment="1">
      <alignment vertical="center" wrapText="1"/>
    </xf>
    <xf numFmtId="0" fontId="3" fillId="0" borderId="3" xfId="0" applyFont="1" applyBorder="1" applyAlignment="1">
      <alignment vertical="center"/>
    </xf>
    <xf numFmtId="0" fontId="3" fillId="0" borderId="3" xfId="0" applyFont="1" applyBorder="1" applyAlignment="1">
      <alignment horizontal="left" vertical="center"/>
    </xf>
    <xf numFmtId="0" fontId="3" fillId="0" borderId="5" xfId="0" applyFont="1" applyBorder="1" applyAlignment="1">
      <alignment horizontal="left" vertical="center"/>
    </xf>
    <xf numFmtId="0" fontId="7" fillId="0" borderId="5" xfId="0" applyFont="1" applyBorder="1" applyAlignment="1">
      <alignment vertical="center" wrapText="1"/>
    </xf>
    <xf numFmtId="0" fontId="8" fillId="0" borderId="5" xfId="0" applyFont="1" applyBorder="1" applyAlignment="1">
      <alignment vertical="center" wrapText="1"/>
    </xf>
    <xf numFmtId="0" fontId="7" fillId="0" borderId="5" xfId="0" applyFont="1" applyBorder="1" applyAlignment="1">
      <alignment horizontal="left" vertical="center" wrapText="1"/>
    </xf>
    <xf numFmtId="0" fontId="5" fillId="0" borderId="0" xfId="0" applyFont="1" applyAlignment="1">
      <alignment vertical="center"/>
    </xf>
    <xf numFmtId="0" fontId="12" fillId="0" borderId="0" xfId="0" applyFont="1" applyAlignment="1">
      <alignment vertical="center" wrapText="1"/>
    </xf>
    <xf numFmtId="14" fontId="11" fillId="0" borderId="0" xfId="0" applyNumberFormat="1" applyFont="1" applyAlignment="1">
      <alignment vertical="center" wrapText="1"/>
    </xf>
    <xf numFmtId="0" fontId="13" fillId="0" borderId="0" xfId="0" applyFont="1" applyAlignment="1">
      <alignment vertical="center"/>
    </xf>
    <xf numFmtId="14" fontId="9" fillId="0" borderId="0" xfId="0" applyNumberFormat="1" applyFont="1" applyAlignment="1">
      <alignment vertical="center" wrapText="1"/>
    </xf>
    <xf numFmtId="0" fontId="8" fillId="0" borderId="3" xfId="0" applyFont="1" applyBorder="1" applyAlignment="1">
      <alignment vertical="top" wrapText="1"/>
    </xf>
    <xf numFmtId="164" fontId="2" fillId="0" borderId="3" xfId="0" applyNumberFormat="1" applyFont="1" applyBorder="1" applyAlignment="1">
      <alignment horizontal="right"/>
    </xf>
    <xf numFmtId="164" fontId="3" fillId="0" borderId="0" xfId="0" applyNumberFormat="1" applyFont="1" applyAlignment="1">
      <alignment wrapText="1"/>
    </xf>
    <xf numFmtId="0" fontId="10" fillId="0" borderId="3" xfId="0" applyFont="1" applyBorder="1" applyAlignment="1">
      <alignment vertical="center"/>
    </xf>
    <xf numFmtId="1" fontId="1" fillId="0" borderId="0" xfId="0" quotePrefix="1" applyNumberFormat="1" applyFont="1" applyAlignment="1">
      <alignment horizontal="left"/>
    </xf>
    <xf numFmtId="164" fontId="2" fillId="0" borderId="3" xfId="0" applyNumberFormat="1" applyFont="1" applyBorder="1" applyAlignment="1">
      <alignment horizontal="left"/>
    </xf>
    <xf numFmtId="0" fontId="2" fillId="0" borderId="3" xfId="0" applyFont="1" applyBorder="1" applyAlignment="1">
      <alignment horizontal="center"/>
    </xf>
    <xf numFmtId="0" fontId="2" fillId="0" borderId="0" xfId="0" applyFont="1" applyAlignment="1">
      <alignment horizontal="left"/>
    </xf>
    <xf numFmtId="0" fontId="13" fillId="0" borderId="0" xfId="0" applyFont="1" applyAlignment="1">
      <alignment horizontal="left"/>
    </xf>
    <xf numFmtId="49" fontId="2" fillId="0" borderId="4" xfId="0" applyNumberFormat="1" applyFont="1" applyBorder="1" applyAlignment="1">
      <alignment horizontal="left" vertical="center" wrapText="1"/>
    </xf>
    <xf numFmtId="40" fontId="14" fillId="0" borderId="2" xfId="0" applyNumberFormat="1" applyFont="1" applyBorder="1" applyAlignment="1">
      <alignment horizontal="right" wrapText="1"/>
    </xf>
    <xf numFmtId="0" fontId="14" fillId="0" borderId="2" xfId="0" applyFont="1" applyBorder="1" applyAlignment="1">
      <alignment horizontal="center" wrapText="1"/>
    </xf>
    <xf numFmtId="164" fontId="14" fillId="0" borderId="2" xfId="0" applyNumberFormat="1" applyFont="1" applyBorder="1" applyAlignment="1">
      <alignment horizontal="right" wrapText="1"/>
    </xf>
    <xf numFmtId="0" fontId="14" fillId="0" borderId="2" xfId="0" applyFont="1" applyBorder="1" applyAlignment="1">
      <alignment horizontal="left" wrapText="1" indent="1"/>
    </xf>
    <xf numFmtId="49" fontId="14" fillId="0" borderId="2" xfId="0" applyNumberFormat="1" applyFont="1" applyBorder="1" applyAlignment="1">
      <alignment horizontal="left" wrapText="1" indent="1"/>
    </xf>
    <xf numFmtId="164" fontId="2" fillId="0" borderId="5" xfId="0" applyNumberFormat="1" applyFont="1" applyBorder="1" applyAlignment="1">
      <alignment horizontal="left" wrapText="1"/>
    </xf>
    <xf numFmtId="0" fontId="14" fillId="0" borderId="4" xfId="0" applyFont="1" applyBorder="1" applyAlignment="1">
      <alignment horizontal="left" wrapText="1" indent="1"/>
    </xf>
    <xf numFmtId="40" fontId="14" fillId="0" borderId="4" xfId="0" applyNumberFormat="1" applyFont="1" applyBorder="1" applyAlignment="1">
      <alignment horizontal="right" wrapText="1"/>
    </xf>
    <xf numFmtId="0" fontId="14" fillId="0" borderId="4" xfId="0" applyFont="1" applyBorder="1" applyAlignment="1">
      <alignment horizontal="center" wrapText="1"/>
    </xf>
    <xf numFmtId="164" fontId="14" fillId="0" borderId="4" xfId="0" applyNumberFormat="1" applyFont="1" applyBorder="1" applyAlignment="1">
      <alignment horizontal="right" wrapText="1"/>
    </xf>
    <xf numFmtId="0" fontId="14" fillId="0" borderId="2" xfId="0" applyFont="1" applyBorder="1" applyAlignment="1">
      <alignment horizontal="left"/>
    </xf>
    <xf numFmtId="0" fontId="14" fillId="0" borderId="4" xfId="0" applyFont="1" applyBorder="1" applyAlignment="1">
      <alignment horizontal="left"/>
    </xf>
    <xf numFmtId="165" fontId="14" fillId="0" borderId="4" xfId="0" applyNumberFormat="1" applyFont="1" applyBorder="1" applyAlignment="1">
      <alignment horizontal="right"/>
    </xf>
    <xf numFmtId="0" fontId="14" fillId="0" borderId="4" xfId="0" applyFont="1" applyBorder="1" applyAlignment="1">
      <alignment horizontal="right"/>
    </xf>
    <xf numFmtId="164" fontId="14" fillId="0" borderId="4" xfId="0" applyNumberFormat="1" applyFont="1" applyBorder="1" applyAlignment="1">
      <alignment horizontal="right"/>
    </xf>
    <xf numFmtId="0" fontId="4" fillId="2" borderId="1" xfId="0" applyFont="1" applyFill="1" applyBorder="1" applyAlignment="1">
      <alignment horizontal="left"/>
    </xf>
    <xf numFmtId="0" fontId="4" fillId="2" borderId="1" xfId="0" applyFont="1" applyFill="1" applyBorder="1" applyAlignment="1">
      <alignment horizontal="center"/>
    </xf>
    <xf numFmtId="0" fontId="13" fillId="0" borderId="0" xfId="0" applyFont="1" applyAlignment="1">
      <alignment horizontal="right"/>
    </xf>
    <xf numFmtId="0" fontId="13" fillId="0" borderId="0" xfId="0" applyFont="1" applyAlignment="1">
      <alignment horizontal="center"/>
    </xf>
    <xf numFmtId="164" fontId="13" fillId="0" borderId="0" xfId="0" applyNumberFormat="1" applyFont="1" applyAlignment="1">
      <alignment horizontal="right"/>
    </xf>
    <xf numFmtId="164" fontId="13" fillId="0" borderId="0" xfId="0" applyNumberFormat="1" applyFont="1" applyAlignment="1">
      <alignment horizontal="left"/>
    </xf>
    <xf numFmtId="0" fontId="13" fillId="0" borderId="0" xfId="0" applyFont="1"/>
    <xf numFmtId="164" fontId="4" fillId="2" borderId="1" xfId="0" applyNumberFormat="1" applyFont="1" applyFill="1" applyBorder="1" applyAlignment="1">
      <alignment horizontal="left"/>
    </xf>
    <xf numFmtId="0" fontId="4" fillId="0" borderId="0" xfId="0" applyFont="1"/>
    <xf numFmtId="0" fontId="4" fillId="2" borderId="3" xfId="0" applyFont="1" applyFill="1" applyBorder="1" applyAlignment="1">
      <alignment horizontal="left"/>
    </xf>
    <xf numFmtId="164" fontId="4" fillId="2" borderId="1" xfId="0" applyNumberFormat="1" applyFont="1" applyFill="1" applyBorder="1" applyAlignment="1">
      <alignment horizontal="center"/>
    </xf>
    <xf numFmtId="0" fontId="4" fillId="2" borderId="3" xfId="0" applyFont="1" applyFill="1" applyBorder="1" applyAlignment="1">
      <alignment horizontal="center"/>
    </xf>
    <xf numFmtId="164" fontId="4" fillId="2" borderId="3" xfId="0" applyNumberFormat="1" applyFont="1" applyFill="1" applyBorder="1" applyAlignment="1">
      <alignment horizontal="center"/>
    </xf>
    <xf numFmtId="0" fontId="14" fillId="0" borderId="4" xfId="0" applyFont="1" applyBorder="1" applyAlignment="1">
      <alignment horizontal="center"/>
    </xf>
    <xf numFmtId="2" fontId="14" fillId="0" borderId="4" xfId="0" applyNumberFormat="1" applyFont="1" applyBorder="1" applyAlignment="1">
      <alignment horizontal="right"/>
    </xf>
    <xf numFmtId="0" fontId="1" fillId="0" borderId="0" xfId="0" applyFont="1" applyAlignment="1">
      <alignment horizontal="left" vertical="center"/>
    </xf>
    <xf numFmtId="0" fontId="13" fillId="0" borderId="0" xfId="0" applyFont="1" applyAlignment="1">
      <alignment horizontal="left" vertical="center"/>
    </xf>
    <xf numFmtId="49" fontId="4" fillId="2" borderId="3" xfId="0" applyNumberFormat="1" applyFont="1" applyFill="1" applyBorder="1" applyAlignment="1">
      <alignment horizontal="left" vertical="center" wrapText="1"/>
    </xf>
    <xf numFmtId="49" fontId="13" fillId="0" borderId="0" xfId="0" applyNumberFormat="1" applyFont="1" applyAlignment="1">
      <alignment horizontal="left" vertical="center"/>
    </xf>
    <xf numFmtId="49" fontId="4" fillId="2" borderId="3" xfId="0" applyNumberFormat="1" applyFont="1" applyFill="1" applyBorder="1" applyAlignment="1">
      <alignment horizontal="left" vertical="center"/>
    </xf>
    <xf numFmtId="0" fontId="14" fillId="0" borderId="2" xfId="0" applyFont="1" applyBorder="1" applyAlignment="1">
      <alignment horizontal="left" vertical="center"/>
    </xf>
    <xf numFmtId="0" fontId="4" fillId="2" borderId="3" xfId="0" applyFont="1" applyFill="1" applyBorder="1" applyAlignment="1">
      <alignment horizontal="left" vertical="center"/>
    </xf>
    <xf numFmtId="0" fontId="2" fillId="0" borderId="2" xfId="0" applyFont="1" applyBorder="1" applyAlignment="1">
      <alignment horizontal="left" vertical="center"/>
    </xf>
    <xf numFmtId="0" fontId="1" fillId="0" borderId="0" xfId="0" applyFont="1" applyAlignment="1">
      <alignment horizontal="center"/>
    </xf>
    <xf numFmtId="164" fontId="14" fillId="0" borderId="0" xfId="0" applyNumberFormat="1" applyFont="1" applyAlignment="1">
      <alignment horizontal="right"/>
    </xf>
    <xf numFmtId="0" fontId="2" fillId="0" borderId="5" xfId="0" applyFont="1" applyBorder="1" applyAlignment="1">
      <alignment wrapText="1"/>
    </xf>
    <xf numFmtId="49" fontId="14" fillId="0" borderId="4" xfId="0" applyNumberFormat="1" applyFont="1" applyBorder="1" applyAlignment="1">
      <alignment horizontal="left" vertical="center" wrapText="1"/>
    </xf>
    <xf numFmtId="0" fontId="14" fillId="0" borderId="0" xfId="0" applyFont="1" applyAlignment="1">
      <alignment wrapText="1"/>
    </xf>
    <xf numFmtId="49" fontId="2" fillId="0" borderId="3" xfId="0" applyNumberFormat="1" applyFont="1" applyBorder="1" applyAlignment="1">
      <alignment horizontal="left" vertical="center"/>
    </xf>
    <xf numFmtId="49" fontId="2" fillId="0" borderId="5" xfId="0" applyNumberFormat="1" applyFont="1" applyBorder="1" applyAlignment="1">
      <alignment horizontal="left" vertical="center" wrapText="1"/>
    </xf>
    <xf numFmtId="0" fontId="2" fillId="0" borderId="0" xfId="0" applyFont="1" applyAlignment="1">
      <alignment wrapText="1"/>
    </xf>
    <xf numFmtId="0" fontId="14" fillId="0" borderId="0" xfId="0" applyFont="1"/>
    <xf numFmtId="0" fontId="14" fillId="0" borderId="2" xfId="0" applyFont="1" applyBorder="1" applyAlignment="1">
      <alignment horizontal="right"/>
    </xf>
    <xf numFmtId="0" fontId="14" fillId="0" borderId="2" xfId="0" applyFont="1" applyBorder="1" applyAlignment="1">
      <alignment horizontal="center"/>
    </xf>
    <xf numFmtId="0" fontId="14" fillId="0" borderId="0" xfId="0" applyFont="1" applyAlignment="1">
      <alignment horizontal="right"/>
    </xf>
    <xf numFmtId="0" fontId="14" fillId="0" borderId="2" xfId="0" applyFont="1" applyBorder="1"/>
    <xf numFmtId="44" fontId="14" fillId="0" borderId="4" xfId="1" applyFont="1" applyBorder="1" applyAlignment="1">
      <alignment horizontal="right"/>
    </xf>
    <xf numFmtId="44" fontId="14" fillId="0" borderId="4" xfId="0" applyNumberFormat="1" applyFont="1" applyBorder="1" applyAlignment="1">
      <alignment horizontal="right"/>
    </xf>
    <xf numFmtId="0" fontId="14" fillId="0" borderId="0" xfId="0" applyFont="1" applyAlignment="1">
      <alignment horizontal="left" vertical="center"/>
    </xf>
    <xf numFmtId="0" fontId="14" fillId="0" borderId="0" xfId="0" applyFont="1" applyAlignment="1">
      <alignment horizontal="left"/>
    </xf>
    <xf numFmtId="0" fontId="14" fillId="0" borderId="0" xfId="0" applyFont="1" applyAlignment="1">
      <alignment horizontal="center"/>
    </xf>
    <xf numFmtId="44" fontId="14" fillId="0" borderId="0" xfId="1" applyFont="1" applyBorder="1" applyAlignment="1">
      <alignment horizontal="right"/>
    </xf>
    <xf numFmtId="44" fontId="14" fillId="0" borderId="0" xfId="1" applyFont="1" applyAlignment="1">
      <alignment horizontal="right"/>
    </xf>
    <xf numFmtId="0" fontId="14" fillId="0" borderId="4" xfId="0" applyFont="1" applyBorder="1"/>
    <xf numFmtId="44" fontId="14" fillId="0" borderId="4" xfId="1" applyFont="1" applyBorder="1"/>
    <xf numFmtId="44" fontId="14" fillId="0" borderId="0" xfId="1" applyFont="1"/>
    <xf numFmtId="2" fontId="14" fillId="0" borderId="4" xfId="0" applyNumberFormat="1" applyFont="1" applyBorder="1"/>
    <xf numFmtId="0" fontId="19" fillId="0" borderId="4" xfId="0" applyFont="1" applyBorder="1"/>
    <xf numFmtId="0" fontId="14" fillId="0" borderId="4" xfId="0" applyFont="1" applyBorder="1" applyAlignment="1">
      <alignment horizontal="left" wrapText="1"/>
    </xf>
    <xf numFmtId="0" fontId="2" fillId="0" borderId="4" xfId="0" applyFont="1" applyBorder="1" applyAlignment="1">
      <alignment horizontal="left" wrapText="1"/>
    </xf>
    <xf numFmtId="49" fontId="2" fillId="0" borderId="0" xfId="0" applyNumberFormat="1" applyFont="1" applyAlignment="1">
      <alignment horizontal="left" vertical="center"/>
    </xf>
    <xf numFmtId="0" fontId="2" fillId="0" borderId="0" xfId="0" applyFont="1" applyAlignment="1">
      <alignment horizontal="right"/>
    </xf>
    <xf numFmtId="0" fontId="2" fillId="0" borderId="0" xfId="0" applyFont="1" applyAlignment="1">
      <alignment horizontal="center"/>
    </xf>
    <xf numFmtId="164" fontId="2" fillId="0" borderId="0" xfId="0" applyNumberFormat="1" applyFont="1" applyAlignment="1">
      <alignment horizontal="right"/>
    </xf>
    <xf numFmtId="164" fontId="2" fillId="0" borderId="0" xfId="0" applyNumberFormat="1" applyFont="1" applyAlignment="1">
      <alignment horizontal="left"/>
    </xf>
    <xf numFmtId="0" fontId="14" fillId="0" borderId="4" xfId="0" applyFont="1" applyBorder="1" applyAlignment="1">
      <alignment wrapText="1"/>
    </xf>
    <xf numFmtId="0" fontId="14" fillId="0" borderId="6" xfId="0" applyFont="1" applyBorder="1"/>
    <xf numFmtId="49" fontId="2" fillId="0" borderId="2" xfId="0" applyNumberFormat="1" applyFont="1" applyBorder="1" applyAlignment="1">
      <alignment horizontal="left" vertical="center"/>
    </xf>
    <xf numFmtId="0" fontId="2" fillId="0" borderId="4" xfId="0" applyFont="1" applyBorder="1" applyAlignment="1">
      <alignment horizontal="left"/>
    </xf>
    <xf numFmtId="0" fontId="2" fillId="0" borderId="4" xfId="0" applyFont="1" applyBorder="1" applyAlignment="1">
      <alignment horizontal="right"/>
    </xf>
    <xf numFmtId="0" fontId="2" fillId="0" borderId="4" xfId="0" applyFont="1" applyBorder="1" applyAlignment="1">
      <alignment horizontal="center"/>
    </xf>
    <xf numFmtId="164" fontId="2" fillId="0" borderId="4" xfId="0" applyNumberFormat="1" applyFont="1" applyBorder="1" applyAlignment="1">
      <alignment horizontal="right"/>
    </xf>
    <xf numFmtId="164" fontId="2" fillId="0" borderId="4" xfId="0" applyNumberFormat="1" applyFont="1" applyBorder="1" applyAlignment="1">
      <alignment horizontal="left"/>
    </xf>
    <xf numFmtId="49" fontId="14" fillId="0" borderId="2" xfId="0" applyNumberFormat="1" applyFont="1" applyBorder="1" applyAlignment="1">
      <alignment horizontal="left" vertical="center"/>
    </xf>
    <xf numFmtId="44" fontId="2" fillId="0" borderId="4" xfId="1" applyFont="1" applyBorder="1" applyAlignment="1">
      <alignment horizontal="right"/>
    </xf>
    <xf numFmtId="164" fontId="14" fillId="0" borderId="4" xfId="0" applyNumberFormat="1" applyFont="1" applyBorder="1" applyAlignment="1">
      <alignment horizontal="left"/>
    </xf>
    <xf numFmtId="40" fontId="20" fillId="0" borderId="2" xfId="0" applyNumberFormat="1" applyFont="1" applyBorder="1" applyAlignment="1">
      <alignment horizontal="right" wrapText="1"/>
    </xf>
    <xf numFmtId="0" fontId="20" fillId="0" borderId="2" xfId="0" applyFont="1" applyBorder="1" applyAlignment="1">
      <alignment horizontal="center" wrapText="1"/>
    </xf>
    <xf numFmtId="164" fontId="20" fillId="0" borderId="2" xfId="0" applyNumberFormat="1" applyFont="1" applyBorder="1" applyAlignment="1">
      <alignment horizontal="right" wrapText="1"/>
    </xf>
    <xf numFmtId="164" fontId="14" fillId="0" borderId="2" xfId="0" applyNumberFormat="1" applyFont="1" applyBorder="1" applyAlignment="1">
      <alignment horizontal="left" wrapText="1"/>
    </xf>
    <xf numFmtId="0" fontId="20" fillId="0" borderId="0" xfId="0" applyFont="1" applyAlignment="1">
      <alignment wrapText="1"/>
    </xf>
    <xf numFmtId="164" fontId="14" fillId="0" borderId="4" xfId="0" applyNumberFormat="1" applyFont="1" applyBorder="1" applyAlignment="1">
      <alignment horizontal="left" wrapText="1"/>
    </xf>
    <xf numFmtId="49" fontId="14" fillId="0" borderId="0" xfId="0" applyNumberFormat="1" applyFont="1" applyAlignment="1">
      <alignment horizontal="left" vertical="center"/>
    </xf>
    <xf numFmtId="164" fontId="14" fillId="0" borderId="0" xfId="0" applyNumberFormat="1" applyFont="1" applyAlignment="1">
      <alignment horizontal="left"/>
    </xf>
    <xf numFmtId="0" fontId="14" fillId="0" borderId="0" xfId="0" applyFont="1" applyAlignment="1">
      <alignment vertical="top" wrapText="1"/>
    </xf>
    <xf numFmtId="2" fontId="14" fillId="0" borderId="0" xfId="0" applyNumberFormat="1" applyFont="1" applyAlignment="1">
      <alignment horizontal="right"/>
    </xf>
    <xf numFmtId="2" fontId="14" fillId="0" borderId="0" xfId="0" applyNumberFormat="1" applyFont="1"/>
    <xf numFmtId="164" fontId="14" fillId="0" borderId="4" xfId="0" applyNumberFormat="1" applyFont="1" applyBorder="1" applyAlignment="1">
      <alignment horizontal="center"/>
    </xf>
    <xf numFmtId="0" fontId="14" fillId="0" borderId="6" xfId="0" applyFont="1" applyBorder="1" applyAlignment="1">
      <alignment horizontal="left" vertical="center"/>
    </xf>
    <xf numFmtId="0" fontId="14" fillId="0" borderId="0" xfId="0" applyFont="1" applyAlignment="1">
      <alignment horizontal="left" wrapText="1"/>
    </xf>
    <xf numFmtId="1" fontId="14" fillId="0" borderId="4" xfId="0" applyNumberFormat="1" applyFont="1" applyBorder="1" applyAlignment="1">
      <alignment horizontal="right"/>
    </xf>
    <xf numFmtId="44" fontId="14" fillId="0" borderId="0" xfId="1" applyFont="1" applyFill="1" applyBorder="1" applyAlignment="1">
      <alignment horizontal="right"/>
    </xf>
    <xf numFmtId="40" fontId="2" fillId="0" borderId="5" xfId="0" applyNumberFormat="1" applyFont="1" applyBorder="1" applyAlignment="1">
      <alignment horizontal="right" wrapText="1"/>
    </xf>
    <xf numFmtId="0" fontId="2" fillId="0" borderId="5" xfId="0" applyFont="1" applyBorder="1" applyAlignment="1">
      <alignment horizontal="center" wrapText="1"/>
    </xf>
    <xf numFmtId="164" fontId="2" fillId="0" borderId="5" xfId="0" applyNumberFormat="1" applyFont="1" applyBorder="1" applyAlignment="1">
      <alignment horizontal="right" wrapText="1"/>
    </xf>
    <xf numFmtId="0" fontId="14" fillId="0" borderId="2" xfId="0" applyFont="1" applyBorder="1" applyAlignment="1">
      <alignment wrapText="1"/>
    </xf>
    <xf numFmtId="38" fontId="14" fillId="0" borderId="4" xfId="0" applyNumberFormat="1" applyFont="1" applyBorder="1" applyAlignment="1">
      <alignment horizontal="right" wrapText="1"/>
    </xf>
    <xf numFmtId="165" fontId="2" fillId="0" borderId="4" xfId="0" applyNumberFormat="1" applyFont="1" applyBorder="1" applyAlignment="1">
      <alignment horizontal="right"/>
    </xf>
    <xf numFmtId="166" fontId="14" fillId="0" borderId="4" xfId="0" applyNumberFormat="1" applyFont="1" applyBorder="1" applyAlignment="1">
      <alignment horizontal="right"/>
    </xf>
    <xf numFmtId="0" fontId="2" fillId="2" borderId="3" xfId="0" applyFont="1" applyFill="1" applyBorder="1" applyAlignment="1">
      <alignment horizontal="left"/>
    </xf>
    <xf numFmtId="0" fontId="2" fillId="2" borderId="3" xfId="0" applyFont="1" applyFill="1" applyBorder="1" applyAlignment="1">
      <alignment horizontal="center"/>
    </xf>
    <xf numFmtId="164" fontId="2" fillId="2" borderId="3" xfId="0" applyNumberFormat="1" applyFont="1" applyFill="1" applyBorder="1" applyAlignment="1">
      <alignment horizontal="center"/>
    </xf>
    <xf numFmtId="0" fontId="2" fillId="0" borderId="2" xfId="0" applyFont="1" applyBorder="1" applyAlignment="1">
      <alignment horizontal="right"/>
    </xf>
    <xf numFmtId="49" fontId="2" fillId="0" borderId="7" xfId="0" applyNumberFormat="1" applyFont="1" applyBorder="1" applyAlignment="1">
      <alignment horizontal="left" vertical="center"/>
    </xf>
    <xf numFmtId="0" fontId="2" fillId="0" borderId="8" xfId="0" applyFont="1" applyBorder="1" applyAlignment="1">
      <alignment horizontal="left"/>
    </xf>
    <xf numFmtId="0" fontId="2" fillId="0" borderId="8" xfId="0" applyFont="1" applyBorder="1" applyAlignment="1">
      <alignment horizontal="right"/>
    </xf>
    <xf numFmtId="0" fontId="2" fillId="0" borderId="8" xfId="0" applyFont="1" applyBorder="1" applyAlignment="1">
      <alignment horizontal="center"/>
    </xf>
    <xf numFmtId="164" fontId="2" fillId="0" borderId="8" xfId="0" applyNumberFormat="1" applyFont="1" applyBorder="1" applyAlignment="1">
      <alignment horizontal="right"/>
    </xf>
    <xf numFmtId="164" fontId="2" fillId="0" borderId="9" xfId="0" applyNumberFormat="1" applyFont="1" applyBorder="1" applyAlignment="1">
      <alignment horizontal="left"/>
    </xf>
    <xf numFmtId="0" fontId="2" fillId="0" borderId="5" xfId="0" applyFont="1" applyBorder="1" applyAlignment="1">
      <alignment horizontal="left"/>
    </xf>
    <xf numFmtId="0" fontId="2" fillId="0" borderId="5" xfId="0" applyFont="1" applyBorder="1" applyAlignment="1">
      <alignment horizontal="right"/>
    </xf>
    <xf numFmtId="0" fontId="2" fillId="0" borderId="5" xfId="0" applyFont="1" applyBorder="1" applyAlignment="1">
      <alignment horizontal="center"/>
    </xf>
    <xf numFmtId="0" fontId="2" fillId="0" borderId="4" xfId="0" applyFont="1" applyBorder="1"/>
    <xf numFmtId="2" fontId="2" fillId="0" borderId="4" xfId="0" applyNumberFormat="1" applyFont="1" applyBorder="1" applyAlignment="1">
      <alignment horizontal="right"/>
    </xf>
    <xf numFmtId="164" fontId="2" fillId="0" borderId="4" xfId="0" applyNumberFormat="1" applyFont="1" applyBorder="1" applyAlignment="1">
      <alignment horizontal="center"/>
    </xf>
    <xf numFmtId="44" fontId="13" fillId="0" borderId="0" xfId="1" applyFont="1" applyBorder="1" applyAlignment="1">
      <alignment horizontal="right"/>
    </xf>
    <xf numFmtId="44" fontId="2" fillId="0" borderId="5" xfId="1" applyFont="1" applyBorder="1" applyAlignment="1">
      <alignment horizontal="right"/>
    </xf>
    <xf numFmtId="44" fontId="2" fillId="0" borderId="4" xfId="0" applyNumberFormat="1" applyFont="1" applyBorder="1" applyAlignment="1">
      <alignment horizontal="right"/>
    </xf>
    <xf numFmtId="0" fontId="2" fillId="0" borderId="6" xfId="0" applyFont="1" applyBorder="1" applyAlignment="1">
      <alignment horizontal="left" vertical="center"/>
    </xf>
    <xf numFmtId="44" fontId="2" fillId="0" borderId="2" xfId="1" applyFont="1" applyBorder="1" applyAlignment="1">
      <alignment horizontal="right"/>
    </xf>
    <xf numFmtId="0" fontId="2" fillId="0" borderId="6" xfId="0" applyFont="1" applyBorder="1"/>
    <xf numFmtId="1" fontId="2" fillId="0" borderId="4" xfId="0" applyNumberFormat="1" applyFont="1" applyBorder="1" applyAlignment="1">
      <alignment horizontal="right"/>
    </xf>
    <xf numFmtId="44" fontId="13" fillId="0" borderId="0" xfId="1" applyFont="1" applyFill="1" applyBorder="1" applyAlignment="1">
      <alignment horizontal="right"/>
    </xf>
    <xf numFmtId="2" fontId="2" fillId="2" borderId="3" xfId="0" applyNumberFormat="1" applyFont="1" applyFill="1" applyBorder="1" applyAlignment="1">
      <alignment horizontal="left" vertical="center"/>
    </xf>
    <xf numFmtId="0" fontId="3" fillId="0" borderId="13" xfId="0" applyFont="1" applyBorder="1" applyAlignment="1">
      <alignment horizontal="left" wrapText="1"/>
    </xf>
    <xf numFmtId="164" fontId="3" fillId="0" borderId="14" xfId="0" applyNumberFormat="1" applyFont="1" applyBorder="1" applyAlignment="1">
      <alignment horizontal="right" wrapText="1"/>
    </xf>
    <xf numFmtId="49" fontId="3" fillId="0" borderId="13" xfId="0" applyNumberFormat="1" applyFont="1" applyBorder="1" applyAlignment="1">
      <alignment horizontal="left" wrapText="1"/>
    </xf>
    <xf numFmtId="44" fontId="14" fillId="0" borderId="4" xfId="1" applyFont="1" applyBorder="1" applyAlignment="1">
      <alignment horizontal="center"/>
    </xf>
    <xf numFmtId="0" fontId="21" fillId="0" borderId="0" xfId="0" applyFont="1"/>
    <xf numFmtId="0" fontId="21" fillId="2" borderId="16" xfId="0" applyFont="1" applyFill="1" applyBorder="1"/>
    <xf numFmtId="0" fontId="0" fillId="2" borderId="17" xfId="0" applyFill="1" applyBorder="1"/>
    <xf numFmtId="0" fontId="0" fillId="2" borderId="18" xfId="0" applyFill="1" applyBorder="1"/>
    <xf numFmtId="0" fontId="0" fillId="2" borderId="19" xfId="0" applyFill="1" applyBorder="1"/>
    <xf numFmtId="0" fontId="0" fillId="2" borderId="0" xfId="0" applyFill="1"/>
    <xf numFmtId="0" fontId="0" fillId="2" borderId="14" xfId="0" applyFill="1" applyBorder="1"/>
    <xf numFmtId="0" fontId="0" fillId="2" borderId="20" xfId="0" applyFill="1" applyBorder="1"/>
    <xf numFmtId="0" fontId="0" fillId="2" borderId="21" xfId="0" applyFill="1" applyBorder="1"/>
    <xf numFmtId="0" fontId="0" fillId="2" borderId="22" xfId="0" applyFill="1" applyBorder="1"/>
    <xf numFmtId="2" fontId="0" fillId="0" borderId="3" xfId="0" applyNumberFormat="1" applyBorder="1"/>
    <xf numFmtId="2" fontId="0" fillId="0" borderId="0" xfId="0" applyNumberFormat="1"/>
    <xf numFmtId="2" fontId="0" fillId="0" borderId="5" xfId="0" applyNumberFormat="1" applyBorder="1"/>
    <xf numFmtId="2" fontId="0" fillId="0" borderId="15" xfId="0" applyNumberFormat="1" applyBorder="1"/>
    <xf numFmtId="0" fontId="0" fillId="2" borderId="3" xfId="0" applyFill="1" applyBorder="1"/>
    <xf numFmtId="0" fontId="21" fillId="3" borderId="3" xfId="0" applyFont="1" applyFill="1" applyBorder="1"/>
    <xf numFmtId="0" fontId="21" fillId="3" borderId="3" xfId="0" applyFont="1" applyFill="1" applyBorder="1" applyAlignment="1">
      <alignment horizontal="center"/>
    </xf>
    <xf numFmtId="0" fontId="7" fillId="2" borderId="3" xfId="0" applyFont="1" applyFill="1" applyBorder="1" applyAlignment="1">
      <alignment vertical="center" wrapText="1"/>
    </xf>
    <xf numFmtId="0" fontId="8" fillId="2" borderId="3" xfId="0" applyFont="1" applyFill="1" applyBorder="1" applyAlignment="1">
      <alignment vertical="center" wrapText="1"/>
    </xf>
    <xf numFmtId="0" fontId="7" fillId="2" borderId="5" xfId="0" applyFont="1" applyFill="1" applyBorder="1" applyAlignment="1">
      <alignment horizontal="left" vertical="center" wrapText="1"/>
    </xf>
    <xf numFmtId="0" fontId="5" fillId="0" borderId="3" xfId="0" applyFont="1" applyBorder="1" applyAlignment="1">
      <alignment horizontal="left" vertical="center"/>
    </xf>
    <xf numFmtId="0" fontId="3" fillId="0" borderId="1" xfId="0" applyFont="1" applyBorder="1" applyAlignment="1">
      <alignment vertical="center"/>
    </xf>
    <xf numFmtId="0" fontId="3" fillId="0" borderId="2" xfId="0" applyFont="1" applyBorder="1" applyAlignment="1">
      <alignment vertical="center"/>
    </xf>
    <xf numFmtId="0" fontId="22" fillId="0" borderId="3" xfId="0" applyFont="1" applyBorder="1" applyAlignment="1">
      <alignment vertical="center"/>
    </xf>
    <xf numFmtId="0" fontId="23" fillId="0" borderId="5" xfId="0" applyFont="1" applyBorder="1" applyAlignment="1">
      <alignment vertical="center" wrapText="1"/>
    </xf>
    <xf numFmtId="0" fontId="15" fillId="2" borderId="5" xfId="0" applyFont="1" applyFill="1" applyBorder="1" applyAlignment="1">
      <alignment vertical="center" wrapText="1"/>
    </xf>
    <xf numFmtId="0" fontId="13" fillId="2" borderId="3" xfId="0" applyFont="1" applyFill="1" applyBorder="1" applyAlignment="1">
      <alignment vertical="center"/>
    </xf>
    <xf numFmtId="0" fontId="8" fillId="2" borderId="3" xfId="0" applyFont="1" applyFill="1" applyBorder="1" applyAlignment="1">
      <alignment vertical="top" wrapText="1"/>
    </xf>
    <xf numFmtId="0" fontId="23" fillId="0" borderId="3" xfId="0" applyFont="1" applyBorder="1" applyAlignment="1">
      <alignment vertical="center" wrapText="1"/>
    </xf>
    <xf numFmtId="0" fontId="8" fillId="0" borderId="3" xfId="0" applyFont="1" applyBorder="1" applyAlignment="1">
      <alignment horizontal="left" vertical="center" wrapText="1"/>
    </xf>
    <xf numFmtId="0" fontId="25" fillId="2" borderId="3" xfId="0" applyFont="1" applyFill="1" applyBorder="1" applyAlignment="1">
      <alignment vertical="center" wrapText="1"/>
    </xf>
    <xf numFmtId="0" fontId="11" fillId="2" borderId="3" xfId="0" applyFont="1" applyFill="1" applyBorder="1" applyAlignment="1">
      <alignment vertical="center" wrapText="1"/>
    </xf>
    <xf numFmtId="0" fontId="14" fillId="0" borderId="0" xfId="0" applyFont="1" applyAlignment="1">
      <alignment vertical="center" wrapText="1"/>
    </xf>
    <xf numFmtId="0" fontId="1" fillId="2" borderId="10" xfId="0" applyFont="1" applyFill="1" applyBorder="1" applyAlignment="1">
      <alignment horizontal="left"/>
    </xf>
    <xf numFmtId="0" fontId="1" fillId="2" borderId="11" xfId="0" applyFont="1" applyFill="1" applyBorder="1" applyAlignment="1">
      <alignment horizontal="left"/>
    </xf>
    <xf numFmtId="0" fontId="1" fillId="2" borderId="12" xfId="0" applyFont="1" applyFill="1" applyBorder="1" applyAlignment="1">
      <alignment horizontal="right"/>
    </xf>
    <xf numFmtId="0" fontId="3" fillId="2" borderId="7" xfId="0" applyFont="1" applyFill="1" applyBorder="1" applyAlignment="1">
      <alignment horizontal="left"/>
    </xf>
    <xf numFmtId="0" fontId="4" fillId="2" borderId="8" xfId="0" applyFont="1" applyFill="1" applyBorder="1" applyAlignment="1">
      <alignment horizontal="left"/>
    </xf>
    <xf numFmtId="164" fontId="4" fillId="2" borderId="9" xfId="0" applyNumberFormat="1" applyFont="1" applyFill="1" applyBorder="1" applyAlignment="1">
      <alignment horizontal="right"/>
    </xf>
    <xf numFmtId="0" fontId="1" fillId="0" borderId="0" xfId="0" applyFont="1" applyAlignment="1">
      <alignment horizontal="left"/>
    </xf>
  </cellXfs>
  <cellStyles count="2">
    <cellStyle name="Currency" xfId="1" builtinId="4"/>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Blackhorse01\company\Lambourn%20Rev%2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Lambourn%20Rev%2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MJT%20at%20work/Active%20jobs/Nurcombe%20Yates%20&amp;%20Partners/Coleg%20Gwent%20Science%20Block/SUB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MJT%20at%20work/Active%20jobs/Nurcombe%20Yates%20&amp;%20Partners/Coleg%20Gwent%20Science%20Block/FRAM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MJT%20at%20work/Active%20jobs/Nurcombe%20Yates%20&amp;%20Partners/Coleg%20Gwent%20Science%20Block/FLR_FIN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CARDIFF/SHARED/QS/GENERAL%20STAFF%20DOCUMENTS%20NON%20JOB%20NUMBERS/MIKE%20THOMAS/Dara/24320%20Drainage%20-%20Remeasure%202003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KE OFF'S"/>
      <sheetName val="ROADS AND SEWERS SUMMARY"/>
      <sheetName val="SITE CLEARANCE"/>
      <sheetName val="STORM SEWERS"/>
      <sheetName val="FOUL SEWERS"/>
      <sheetName val="ROADS"/>
      <sheetName val="FOOTPATHS AND CROSSOVERS"/>
      <sheetName val="SERVICES"/>
      <sheetName val="PLOTCOSTS SUMMARY"/>
      <sheetName val="FOUNDATIONS"/>
      <sheetName val="DOMESTIC DRAINAGE"/>
      <sheetName val="EXTERNALS"/>
      <sheetName val="BUILD UP'S"/>
      <sheetName val="TAKE OFF_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KE OFF'S"/>
      <sheetName val="ROADS AND SEWERS SUMMARY"/>
      <sheetName val="SITE CLEARANCE"/>
      <sheetName val="STORM SEWERS"/>
      <sheetName val="FOUL SEWERS"/>
      <sheetName val="ROADS"/>
      <sheetName val="FOOTPATHS AND CROSSOVERS"/>
      <sheetName val="SERVICES"/>
      <sheetName val="PLOTCOSTS SUMMARY"/>
      <sheetName val="FOUNDATIONS"/>
      <sheetName val="DOMESTIC DRAINAGE"/>
      <sheetName val="EXTERNALS"/>
      <sheetName val="BUILD UP'S"/>
      <sheetName val="TAKE OFF_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es"/>
      <sheetName val="Blank"/>
      <sheetName val="Blank (2)"/>
      <sheetName val="Calcs"/>
      <sheetName val="Measure"/>
      <sheetName val="BQ"/>
    </sheetNames>
    <sheetDataSet>
      <sheetData sheetId="0"/>
      <sheetData sheetId="1"/>
      <sheetData sheetId="2"/>
      <sheetData sheetId="3" refreshError="1">
        <row r="147">
          <cell r="C147">
            <v>112.18</v>
          </cell>
        </row>
        <row r="173">
          <cell r="C173">
            <v>1018.4300000000001</v>
          </cell>
        </row>
        <row r="183">
          <cell r="C183">
            <v>215.70999999999998</v>
          </cell>
        </row>
        <row r="223">
          <cell r="C223">
            <v>162.22999999999999</v>
          </cell>
        </row>
      </sheetData>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es"/>
      <sheetName val="Blank"/>
      <sheetName val="Calcs"/>
      <sheetName val="Measure"/>
      <sheetName val="BQ"/>
      <sheetName val="Calcs Protection"/>
      <sheetName val="Protection"/>
      <sheetName val="Protection BQ1"/>
    </sheetNames>
    <sheetDataSet>
      <sheetData sheetId="0"/>
      <sheetData sheetId="1"/>
      <sheetData sheetId="2"/>
      <sheetData sheetId="3"/>
      <sheetData sheetId="4"/>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es"/>
      <sheetName val="Blank"/>
      <sheetName val="Calcs"/>
      <sheetName val="Measure"/>
      <sheetName val="BQ"/>
    </sheetNames>
    <sheetDataSet>
      <sheetData sheetId="0"/>
      <sheetData sheetId="1"/>
      <sheetData sheetId="2" refreshError="1">
        <row r="873">
          <cell r="K873">
            <v>106.29000000000002</v>
          </cell>
        </row>
      </sheetData>
      <sheetData sheetId="3"/>
      <sheetData sheetId="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es"/>
      <sheetName val="Bulk quants check"/>
      <sheetName val="MT-01"/>
      <sheetName val="FW Manhole schedule"/>
      <sheetName val="SW Manhole schedule"/>
      <sheetName val="Foul drain calcs"/>
      <sheetName val="SW drain calcs"/>
      <sheetName val="Land drain calcs"/>
      <sheetName val="ACO drains"/>
      <sheetName val="Drainage BQ"/>
      <sheetName val="Blank"/>
    </sheetNames>
    <sheetDataSet>
      <sheetData sheetId="0" refreshError="1"/>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6:E361"/>
  <sheetViews>
    <sheetView zoomScale="85" zoomScaleNormal="85" workbookViewId="0">
      <selection activeCell="D2" sqref="D2"/>
    </sheetView>
  </sheetViews>
  <sheetFormatPr defaultColWidth="8.88671875" defaultRowHeight="14.4" x14ac:dyDescent="0.3"/>
  <cols>
    <col min="1" max="1" width="8.88671875" style="16"/>
    <col min="2" max="2" width="73.5546875" style="16" customWidth="1"/>
    <col min="3" max="3" width="60.109375" style="14" customWidth="1"/>
    <col min="4" max="4" width="37.44140625" style="15" customWidth="1"/>
    <col min="5" max="16384" width="8.88671875" style="16"/>
  </cols>
  <sheetData>
    <row r="6" spans="2:4" ht="24.6" x14ac:dyDescent="0.3">
      <c r="B6" s="13" t="s">
        <v>18</v>
      </c>
    </row>
    <row r="7" spans="2:4" ht="13.8" x14ac:dyDescent="0.3">
      <c r="B7" s="27" t="s">
        <v>19</v>
      </c>
      <c r="C7" s="17"/>
      <c r="D7" s="31"/>
    </row>
    <row r="9" spans="2:4" x14ac:dyDescent="0.3">
      <c r="B9" s="18"/>
    </row>
    <row r="10" spans="2:4" ht="15.6" x14ac:dyDescent="0.3">
      <c r="B10" s="201" t="s">
        <v>921</v>
      </c>
      <c r="C10" s="192"/>
      <c r="D10" s="193"/>
    </row>
    <row r="11" spans="2:4" ht="3.6" customHeight="1" x14ac:dyDescent="0.3">
      <c r="B11" s="21"/>
      <c r="C11" s="19"/>
      <c r="D11" s="20"/>
    </row>
    <row r="12" spans="2:4" ht="57.6" x14ac:dyDescent="0.3">
      <c r="B12" s="23" t="s">
        <v>13</v>
      </c>
      <c r="C12" s="24" t="s">
        <v>935</v>
      </c>
      <c r="D12" s="25" t="s">
        <v>20</v>
      </c>
    </row>
    <row r="13" spans="2:4" ht="3.6" customHeight="1" x14ac:dyDescent="0.3">
      <c r="B13" s="21"/>
      <c r="C13" s="19"/>
      <c r="D13" s="20"/>
    </row>
    <row r="14" spans="2:4" ht="70.8" customHeight="1" x14ac:dyDescent="0.3">
      <c r="B14" s="21" t="s">
        <v>949</v>
      </c>
      <c r="C14" s="19" t="s">
        <v>951</v>
      </c>
      <c r="D14" s="20" t="s">
        <v>950</v>
      </c>
    </row>
    <row r="15" spans="2:4" ht="3.6" customHeight="1" x14ac:dyDescent="0.3">
      <c r="B15" s="21"/>
      <c r="C15" s="19"/>
      <c r="D15" s="20"/>
    </row>
    <row r="16" spans="2:4" ht="85.8" customHeight="1" x14ac:dyDescent="0.3">
      <c r="B16" s="22" t="s">
        <v>922</v>
      </c>
      <c r="C16" s="19" t="s">
        <v>1237</v>
      </c>
      <c r="D16" s="20" t="s">
        <v>926</v>
      </c>
    </row>
    <row r="17" spans="2:4" ht="3" customHeight="1" x14ac:dyDescent="0.3">
      <c r="B17" s="21"/>
      <c r="C17" s="19"/>
      <c r="D17" s="20"/>
    </row>
    <row r="18" spans="2:4" ht="57.6" x14ac:dyDescent="0.3">
      <c r="B18" s="23" t="s">
        <v>923</v>
      </c>
      <c r="C18" s="26" t="s">
        <v>924</v>
      </c>
      <c r="D18" s="20" t="s">
        <v>925</v>
      </c>
    </row>
    <row r="19" spans="2:4" ht="2.4" customHeight="1" x14ac:dyDescent="0.3">
      <c r="B19" s="21"/>
      <c r="C19" s="19"/>
      <c r="D19" s="20"/>
    </row>
    <row r="20" spans="2:4" ht="33" customHeight="1" x14ac:dyDescent="0.3">
      <c r="B20" s="22" t="s">
        <v>927</v>
      </c>
      <c r="C20" s="26" t="s">
        <v>928</v>
      </c>
      <c r="D20" s="20" t="s">
        <v>960</v>
      </c>
    </row>
    <row r="21" spans="2:4" ht="2.4" customHeight="1" x14ac:dyDescent="0.3">
      <c r="B21" s="21"/>
      <c r="C21" s="19"/>
      <c r="D21" s="20"/>
    </row>
    <row r="22" spans="2:4" ht="72" x14ac:dyDescent="0.3">
      <c r="B22" s="22" t="s">
        <v>929</v>
      </c>
      <c r="C22" s="26" t="s">
        <v>930</v>
      </c>
      <c r="D22" s="20" t="s">
        <v>931</v>
      </c>
    </row>
    <row r="23" spans="2:4" ht="3" customHeight="1" x14ac:dyDescent="0.3">
      <c r="B23" s="21"/>
      <c r="C23" s="19"/>
      <c r="D23" s="20"/>
    </row>
    <row r="24" spans="2:4" ht="57.6" x14ac:dyDescent="0.3">
      <c r="B24" s="22" t="s">
        <v>932</v>
      </c>
      <c r="C24" s="19" t="s">
        <v>933</v>
      </c>
      <c r="D24" s="20" t="s">
        <v>934</v>
      </c>
    </row>
    <row r="25" spans="2:4" ht="3" customHeight="1" x14ac:dyDescent="0.3">
      <c r="B25" s="21"/>
      <c r="C25" s="19"/>
      <c r="D25" s="20"/>
    </row>
    <row r="26" spans="2:4" ht="48.6" customHeight="1" x14ac:dyDescent="0.3">
      <c r="B26" s="22" t="s">
        <v>936</v>
      </c>
      <c r="C26" s="26" t="s">
        <v>937</v>
      </c>
      <c r="D26" s="20" t="s">
        <v>12</v>
      </c>
    </row>
    <row r="27" spans="2:4" ht="3" customHeight="1" x14ac:dyDescent="0.3">
      <c r="B27" s="35"/>
      <c r="C27" s="19"/>
      <c r="D27" s="20"/>
    </row>
    <row r="28" spans="2:4" ht="68.400000000000006" customHeight="1" x14ac:dyDescent="0.3">
      <c r="B28" s="22" t="s">
        <v>938</v>
      </c>
      <c r="C28" s="26" t="s">
        <v>939</v>
      </c>
      <c r="D28" s="20" t="s">
        <v>940</v>
      </c>
    </row>
    <row r="29" spans="2:4" ht="3" customHeight="1" x14ac:dyDescent="0.3">
      <c r="B29" s="21"/>
      <c r="C29" s="19"/>
      <c r="D29" s="20"/>
    </row>
    <row r="30" spans="2:4" ht="46.8" customHeight="1" x14ac:dyDescent="0.3">
      <c r="B30" s="21" t="s">
        <v>941</v>
      </c>
      <c r="C30" s="19" t="s">
        <v>942</v>
      </c>
      <c r="D30" s="20" t="s">
        <v>943</v>
      </c>
    </row>
    <row r="31" spans="2:4" ht="4.2" customHeight="1" x14ac:dyDescent="0.3">
      <c r="B31" s="21"/>
      <c r="C31" s="19"/>
      <c r="D31" s="20"/>
    </row>
    <row r="32" spans="2:4" ht="43.2" customHeight="1" x14ac:dyDescent="0.3">
      <c r="B32" s="22" t="s">
        <v>944</v>
      </c>
      <c r="C32" s="26" t="s">
        <v>945</v>
      </c>
      <c r="D32" s="20" t="s">
        <v>946</v>
      </c>
    </row>
    <row r="33" spans="2:4" ht="3" customHeight="1" x14ac:dyDescent="0.3">
      <c r="B33" s="21"/>
      <c r="C33" s="19"/>
      <c r="D33" s="20"/>
    </row>
    <row r="34" spans="2:4" ht="45.6" customHeight="1" x14ac:dyDescent="0.3">
      <c r="B34" s="22" t="s">
        <v>947</v>
      </c>
      <c r="C34" s="26" t="s">
        <v>948</v>
      </c>
      <c r="D34" s="20" t="s">
        <v>14</v>
      </c>
    </row>
    <row r="35" spans="2:4" ht="2.4" customHeight="1" x14ac:dyDescent="0.3">
      <c r="B35" s="21"/>
      <c r="C35" s="19"/>
      <c r="D35" s="20"/>
    </row>
    <row r="36" spans="2:4" ht="31.8" customHeight="1" x14ac:dyDescent="0.3">
      <c r="B36" s="22" t="s">
        <v>952</v>
      </c>
      <c r="C36" s="26" t="s">
        <v>953</v>
      </c>
      <c r="D36" s="20" t="s">
        <v>14</v>
      </c>
    </row>
    <row r="37" spans="2:4" ht="2.4" customHeight="1" x14ac:dyDescent="0.3">
      <c r="B37" s="21"/>
      <c r="C37" s="19"/>
      <c r="D37" s="20"/>
    </row>
    <row r="38" spans="2:4" ht="46.2" customHeight="1" x14ac:dyDescent="0.3">
      <c r="B38" s="22" t="s">
        <v>954</v>
      </c>
      <c r="C38" s="26" t="s">
        <v>955</v>
      </c>
      <c r="D38" s="20" t="s">
        <v>956</v>
      </c>
    </row>
    <row r="39" spans="2:4" ht="3" customHeight="1" x14ac:dyDescent="0.3">
      <c r="B39" s="21"/>
      <c r="C39" s="19"/>
      <c r="D39" s="20"/>
    </row>
    <row r="40" spans="2:4" ht="82.2" customHeight="1" x14ac:dyDescent="0.3">
      <c r="B40" s="22" t="s">
        <v>957</v>
      </c>
      <c r="C40" s="26" t="s">
        <v>958</v>
      </c>
      <c r="D40" s="20" t="s">
        <v>14</v>
      </c>
    </row>
    <row r="41" spans="2:4" x14ac:dyDescent="0.3">
      <c r="B41" s="78" t="s">
        <v>963</v>
      </c>
      <c r="C41" s="194"/>
      <c r="D41" s="193"/>
    </row>
    <row r="42" spans="2:4" ht="3.6" customHeight="1" x14ac:dyDescent="0.3">
      <c r="B42" s="195"/>
      <c r="C42" s="26"/>
      <c r="D42" s="20"/>
    </row>
    <row r="43" spans="2:4" ht="43.2" customHeight="1" x14ac:dyDescent="0.3">
      <c r="B43" s="22" t="s">
        <v>971</v>
      </c>
      <c r="C43" s="26" t="s">
        <v>972</v>
      </c>
      <c r="D43" s="20" t="s">
        <v>14</v>
      </c>
    </row>
    <row r="44" spans="2:4" ht="3" customHeight="1" x14ac:dyDescent="0.3">
      <c r="B44" s="21"/>
      <c r="C44" s="19"/>
      <c r="D44" s="20"/>
    </row>
    <row r="45" spans="2:4" ht="56.4" customHeight="1" x14ac:dyDescent="0.3">
      <c r="B45" s="22" t="s">
        <v>964</v>
      </c>
      <c r="C45" s="26" t="s">
        <v>965</v>
      </c>
      <c r="D45" s="20" t="s">
        <v>14</v>
      </c>
    </row>
    <row r="46" spans="2:4" ht="3.6" customHeight="1" x14ac:dyDescent="0.3">
      <c r="B46" s="21"/>
      <c r="C46" s="19"/>
      <c r="D46" s="20"/>
    </row>
    <row r="47" spans="2:4" ht="44.4" customHeight="1" x14ac:dyDescent="0.3">
      <c r="B47" s="22" t="s">
        <v>966</v>
      </c>
      <c r="C47" s="19" t="s">
        <v>967</v>
      </c>
      <c r="D47" s="20" t="s">
        <v>14</v>
      </c>
    </row>
    <row r="48" spans="2:4" ht="4.2" customHeight="1" x14ac:dyDescent="0.3">
      <c r="B48" s="21"/>
      <c r="C48" s="19"/>
      <c r="D48" s="20"/>
    </row>
    <row r="49" spans="1:4" ht="56.4" customHeight="1" x14ac:dyDescent="0.3">
      <c r="B49" s="22" t="s">
        <v>968</v>
      </c>
      <c r="C49" s="19" t="s">
        <v>969</v>
      </c>
      <c r="D49" s="20" t="s">
        <v>14</v>
      </c>
    </row>
    <row r="50" spans="1:4" ht="3.6" customHeight="1" x14ac:dyDescent="0.3">
      <c r="B50" s="21"/>
      <c r="C50" s="19"/>
      <c r="D50" s="20"/>
    </row>
    <row r="51" spans="1:4" ht="56.4" customHeight="1" x14ac:dyDescent="0.3">
      <c r="B51" s="22" t="s">
        <v>970</v>
      </c>
      <c r="C51" s="19" t="s">
        <v>973</v>
      </c>
      <c r="D51" s="20" t="s">
        <v>974</v>
      </c>
    </row>
    <row r="52" spans="1:4" x14ac:dyDescent="0.3">
      <c r="B52" s="78" t="s">
        <v>975</v>
      </c>
      <c r="C52" s="192"/>
      <c r="D52" s="193"/>
    </row>
    <row r="53" spans="1:4" ht="4.2" customHeight="1" x14ac:dyDescent="0.3">
      <c r="B53" s="21"/>
      <c r="C53" s="19"/>
      <c r="D53" s="20"/>
    </row>
    <row r="54" spans="1:4" ht="56.4" customHeight="1" x14ac:dyDescent="0.3">
      <c r="B54" s="22" t="s">
        <v>976</v>
      </c>
      <c r="C54" s="19" t="s">
        <v>977</v>
      </c>
      <c r="D54" s="20" t="s">
        <v>14</v>
      </c>
    </row>
    <row r="55" spans="1:4" ht="3.6" customHeight="1" x14ac:dyDescent="0.3">
      <c r="B55" s="21"/>
      <c r="C55" s="19"/>
      <c r="D55" s="20"/>
    </row>
    <row r="56" spans="1:4" ht="72" x14ac:dyDescent="0.3">
      <c r="B56" s="22" t="s">
        <v>978</v>
      </c>
      <c r="C56" s="19" t="s">
        <v>980</v>
      </c>
      <c r="D56" s="20" t="s">
        <v>979</v>
      </c>
    </row>
    <row r="57" spans="1:4" ht="3.6" customHeight="1" x14ac:dyDescent="0.3">
      <c r="B57" s="21"/>
      <c r="C57" s="19"/>
      <c r="D57" s="20"/>
    </row>
    <row r="58" spans="1:4" ht="30" customHeight="1" x14ac:dyDescent="0.3">
      <c r="B58" s="22" t="s">
        <v>952</v>
      </c>
      <c r="C58" s="19" t="s">
        <v>981</v>
      </c>
      <c r="D58" s="20" t="s">
        <v>982</v>
      </c>
    </row>
    <row r="59" spans="1:4" ht="3.6" customHeight="1" x14ac:dyDescent="0.3">
      <c r="B59" s="21"/>
      <c r="C59" s="19"/>
      <c r="D59" s="20"/>
    </row>
    <row r="60" spans="1:4" ht="43.2" customHeight="1" x14ac:dyDescent="0.3">
      <c r="B60" s="22" t="s">
        <v>983</v>
      </c>
      <c r="C60" s="19" t="s">
        <v>984</v>
      </c>
      <c r="D60" s="20" t="s">
        <v>14</v>
      </c>
    </row>
    <row r="61" spans="1:4" x14ac:dyDescent="0.3">
      <c r="B61" s="78" t="s">
        <v>959</v>
      </c>
      <c r="C61" s="192"/>
      <c r="D61" s="193"/>
    </row>
    <row r="62" spans="1:4" ht="3" customHeight="1" x14ac:dyDescent="0.3">
      <c r="B62" s="21"/>
      <c r="C62" s="19"/>
      <c r="D62" s="20"/>
    </row>
    <row r="63" spans="1:4" ht="19.8" customHeight="1" x14ac:dyDescent="0.3">
      <c r="A63" s="197"/>
      <c r="B63" s="196" t="s">
        <v>988</v>
      </c>
      <c r="C63" s="14" t="s">
        <v>994</v>
      </c>
      <c r="D63" s="20" t="s">
        <v>995</v>
      </c>
    </row>
    <row r="64" spans="1:4" ht="3" customHeight="1" x14ac:dyDescent="0.3">
      <c r="B64" s="21"/>
      <c r="C64" s="19"/>
      <c r="D64" s="20"/>
    </row>
    <row r="65" spans="2:4" ht="42.6" customHeight="1" x14ac:dyDescent="0.3">
      <c r="B65" s="22" t="s">
        <v>15</v>
      </c>
      <c r="C65" s="19" t="s">
        <v>1023</v>
      </c>
      <c r="D65" s="20" t="s">
        <v>14</v>
      </c>
    </row>
    <row r="66" spans="2:4" ht="3" customHeight="1" x14ac:dyDescent="0.3">
      <c r="B66" s="21"/>
      <c r="C66" s="19"/>
      <c r="D66" s="20"/>
    </row>
    <row r="67" spans="2:4" ht="86.4" x14ac:dyDescent="0.3">
      <c r="B67" s="22" t="s">
        <v>986</v>
      </c>
      <c r="C67" s="19" t="s">
        <v>1000</v>
      </c>
      <c r="D67" s="20" t="s">
        <v>1030</v>
      </c>
    </row>
    <row r="68" spans="2:4" ht="3" customHeight="1" x14ac:dyDescent="0.3">
      <c r="B68" s="21"/>
      <c r="C68" s="19"/>
      <c r="D68" s="20"/>
    </row>
    <row r="69" spans="2:4" ht="28.8" customHeight="1" x14ac:dyDescent="0.3">
      <c r="B69" s="22" t="s">
        <v>534</v>
      </c>
      <c r="C69" s="19" t="s">
        <v>1011</v>
      </c>
      <c r="D69" s="20" t="s">
        <v>14</v>
      </c>
    </row>
    <row r="70" spans="2:4" ht="2.4" customHeight="1" x14ac:dyDescent="0.3">
      <c r="B70" s="21"/>
      <c r="C70" s="19"/>
      <c r="D70" s="20"/>
    </row>
    <row r="71" spans="2:4" ht="43.2" x14ac:dyDescent="0.3">
      <c r="B71" s="22" t="s">
        <v>985</v>
      </c>
      <c r="C71" s="19" t="s">
        <v>998</v>
      </c>
      <c r="D71" s="20" t="s">
        <v>999</v>
      </c>
    </row>
    <row r="72" spans="2:4" ht="4.2" customHeight="1" x14ac:dyDescent="0.3">
      <c r="B72" s="21"/>
      <c r="C72" s="19"/>
      <c r="D72" s="20"/>
    </row>
    <row r="73" spans="2:4" ht="46.2" customHeight="1" x14ac:dyDescent="0.3">
      <c r="B73" s="22" t="s">
        <v>385</v>
      </c>
      <c r="C73" s="19" t="s">
        <v>1001</v>
      </c>
      <c r="D73" s="20" t="s">
        <v>14</v>
      </c>
    </row>
    <row r="74" spans="2:4" ht="4.2" customHeight="1" x14ac:dyDescent="0.3">
      <c r="B74" s="21"/>
      <c r="C74" s="19"/>
      <c r="D74" s="20"/>
    </row>
    <row r="75" spans="2:4" ht="57.6" x14ac:dyDescent="0.3">
      <c r="B75" s="22" t="s">
        <v>989</v>
      </c>
      <c r="C75" s="19" t="s">
        <v>1003</v>
      </c>
      <c r="D75" s="20" t="s">
        <v>1004</v>
      </c>
    </row>
    <row r="76" spans="2:4" ht="3.6" customHeight="1" x14ac:dyDescent="0.3">
      <c r="B76" s="21"/>
      <c r="C76" s="19"/>
      <c r="D76" s="20"/>
    </row>
    <row r="77" spans="2:4" ht="28.8" customHeight="1" x14ac:dyDescent="0.3">
      <c r="B77" s="22" t="s">
        <v>990</v>
      </c>
      <c r="C77" s="19" t="s">
        <v>1002</v>
      </c>
      <c r="D77" s="20" t="s">
        <v>11</v>
      </c>
    </row>
    <row r="78" spans="2:4" ht="5.25" customHeight="1" x14ac:dyDescent="0.3">
      <c r="B78" s="21"/>
      <c r="C78" s="19"/>
      <c r="D78" s="20"/>
    </row>
    <row r="79" spans="2:4" ht="42" customHeight="1" x14ac:dyDescent="0.3">
      <c r="B79" s="22" t="s">
        <v>991</v>
      </c>
      <c r="C79" s="19" t="s">
        <v>1005</v>
      </c>
      <c r="D79" s="20" t="s">
        <v>14</v>
      </c>
    </row>
    <row r="80" spans="2:4" ht="3.6" customHeight="1" x14ac:dyDescent="0.3">
      <c r="B80" s="21"/>
      <c r="C80" s="19"/>
      <c r="D80" s="32"/>
    </row>
    <row r="81" spans="2:4" ht="29.4" customHeight="1" x14ac:dyDescent="0.3">
      <c r="B81" s="22" t="s">
        <v>992</v>
      </c>
      <c r="C81" s="19" t="s">
        <v>1006</v>
      </c>
      <c r="D81" s="20" t="s">
        <v>14</v>
      </c>
    </row>
    <row r="82" spans="2:4" ht="3.6" customHeight="1" x14ac:dyDescent="0.3">
      <c r="B82" s="21"/>
      <c r="C82" s="19"/>
      <c r="D82" s="32"/>
    </row>
    <row r="83" spans="2:4" ht="30" customHeight="1" x14ac:dyDescent="0.3">
      <c r="B83" s="22" t="s">
        <v>993</v>
      </c>
      <c r="C83" s="19" t="s">
        <v>1007</v>
      </c>
      <c r="D83" s="20" t="s">
        <v>1008</v>
      </c>
    </row>
    <row r="84" spans="2:4" ht="3.6" customHeight="1" x14ac:dyDescent="0.3">
      <c r="B84" s="21"/>
      <c r="C84" s="19"/>
      <c r="D84" s="20"/>
    </row>
    <row r="85" spans="2:4" ht="31.2" customHeight="1" x14ac:dyDescent="0.3">
      <c r="B85" s="22" t="s">
        <v>987</v>
      </c>
      <c r="C85" s="19" t="s">
        <v>996</v>
      </c>
      <c r="D85" s="20" t="s">
        <v>997</v>
      </c>
    </row>
    <row r="86" spans="2:4" ht="4.2" customHeight="1" x14ac:dyDescent="0.3">
      <c r="B86" s="21"/>
      <c r="C86" s="19"/>
      <c r="D86" s="20"/>
    </row>
    <row r="87" spans="2:4" ht="42" customHeight="1" x14ac:dyDescent="0.3">
      <c r="B87" s="22" t="s">
        <v>1009</v>
      </c>
      <c r="C87" s="19" t="s">
        <v>1010</v>
      </c>
      <c r="D87" s="20" t="s">
        <v>1008</v>
      </c>
    </row>
    <row r="88" spans="2:4" ht="3.6" customHeight="1" x14ac:dyDescent="0.3">
      <c r="B88" s="21"/>
      <c r="C88" s="19"/>
      <c r="D88" s="20"/>
    </row>
    <row r="89" spans="2:4" ht="32.4" customHeight="1" x14ac:dyDescent="0.3">
      <c r="B89" s="22" t="s">
        <v>1012</v>
      </c>
      <c r="C89" s="19" t="s">
        <v>1013</v>
      </c>
      <c r="D89" s="20" t="s">
        <v>14</v>
      </c>
    </row>
    <row r="90" spans="2:4" ht="3.6" customHeight="1" x14ac:dyDescent="0.3">
      <c r="B90" s="21"/>
      <c r="C90" s="19"/>
      <c r="D90" s="20"/>
    </row>
    <row r="91" spans="2:4" ht="55.2" customHeight="1" x14ac:dyDescent="0.3">
      <c r="B91" s="22" t="s">
        <v>1014</v>
      </c>
      <c r="C91" s="19" t="s">
        <v>1015</v>
      </c>
      <c r="D91" s="20" t="s">
        <v>14</v>
      </c>
    </row>
    <row r="92" spans="2:4" ht="4.95" customHeight="1" x14ac:dyDescent="0.3">
      <c r="B92" s="21"/>
      <c r="C92" s="19"/>
      <c r="D92" s="20"/>
    </row>
    <row r="93" spans="2:4" ht="27.6" customHeight="1" x14ac:dyDescent="0.3">
      <c r="B93" s="198" t="s">
        <v>1082</v>
      </c>
      <c r="C93" s="19" t="s">
        <v>1016</v>
      </c>
      <c r="D93" s="20" t="s">
        <v>11</v>
      </c>
    </row>
    <row r="94" spans="2:4" ht="4.2" customHeight="1" x14ac:dyDescent="0.3">
      <c r="B94" s="21"/>
      <c r="C94" s="19"/>
      <c r="D94" s="20"/>
    </row>
    <row r="95" spans="2:4" ht="28.8" customHeight="1" x14ac:dyDescent="0.3">
      <c r="B95" s="21" t="s">
        <v>1017</v>
      </c>
      <c r="C95" s="19" t="s">
        <v>1018</v>
      </c>
      <c r="D95" s="25" t="s">
        <v>11</v>
      </c>
    </row>
    <row r="96" spans="2:4" ht="4.2" customHeight="1" x14ac:dyDescent="0.3">
      <c r="B96" s="21"/>
      <c r="C96" s="19"/>
      <c r="D96" s="25"/>
    </row>
    <row r="97" spans="2:4" ht="28.8" customHeight="1" x14ac:dyDescent="0.3">
      <c r="B97" s="22" t="s">
        <v>1019</v>
      </c>
      <c r="C97" s="19" t="s">
        <v>1020</v>
      </c>
      <c r="D97" s="199" t="s">
        <v>14</v>
      </c>
    </row>
    <row r="98" spans="2:4" ht="4.2" customHeight="1" x14ac:dyDescent="0.3">
      <c r="B98" s="21"/>
      <c r="C98" s="19"/>
      <c r="D98" s="20"/>
    </row>
    <row r="99" spans="2:4" ht="30.6" customHeight="1" x14ac:dyDescent="0.3">
      <c r="B99" s="22" t="s">
        <v>1021</v>
      </c>
      <c r="C99" s="19" t="s">
        <v>1022</v>
      </c>
      <c r="D99" s="199" t="s">
        <v>14</v>
      </c>
    </row>
    <row r="100" spans="2:4" x14ac:dyDescent="0.3">
      <c r="B100" s="78" t="s">
        <v>1052</v>
      </c>
      <c r="C100" s="192"/>
      <c r="D100" s="202"/>
    </row>
    <row r="101" spans="2:4" ht="4.2" customHeight="1" x14ac:dyDescent="0.3">
      <c r="B101" s="21"/>
      <c r="C101" s="19"/>
      <c r="D101" s="20"/>
    </row>
    <row r="102" spans="2:4" ht="31.8" customHeight="1" x14ac:dyDescent="0.3">
      <c r="B102" s="22" t="s">
        <v>1054</v>
      </c>
      <c r="C102" s="19" t="s">
        <v>1058</v>
      </c>
      <c r="D102" s="32" t="s">
        <v>1059</v>
      </c>
    </row>
    <row r="103" spans="2:4" ht="4.2" customHeight="1" x14ac:dyDescent="0.3">
      <c r="B103" s="21"/>
      <c r="C103" s="19"/>
      <c r="D103" s="20"/>
    </row>
    <row r="104" spans="2:4" ht="28.8" customHeight="1" x14ac:dyDescent="0.3">
      <c r="B104" s="22" t="s">
        <v>991</v>
      </c>
      <c r="C104" s="19" t="s">
        <v>1053</v>
      </c>
      <c r="D104" s="20" t="s">
        <v>14</v>
      </c>
    </row>
    <row r="105" spans="2:4" ht="4.2" customHeight="1" x14ac:dyDescent="0.3">
      <c r="B105" s="21"/>
      <c r="C105" s="19"/>
      <c r="D105" s="20"/>
    </row>
    <row r="106" spans="2:4" ht="28.8" customHeight="1" x14ac:dyDescent="0.3">
      <c r="B106" s="22" t="s">
        <v>1055</v>
      </c>
      <c r="C106" s="19" t="s">
        <v>1056</v>
      </c>
      <c r="D106" s="204" t="s">
        <v>14</v>
      </c>
    </row>
    <row r="107" spans="2:4" ht="4.2" customHeight="1" x14ac:dyDescent="0.3">
      <c r="B107" s="21"/>
      <c r="C107" s="19"/>
      <c r="D107" s="20"/>
    </row>
    <row r="108" spans="2:4" ht="31.2" customHeight="1" x14ac:dyDescent="0.3">
      <c r="B108" s="22" t="s">
        <v>1057</v>
      </c>
      <c r="C108" s="19" t="s">
        <v>1060</v>
      </c>
      <c r="D108" s="32" t="s">
        <v>1061</v>
      </c>
    </row>
    <row r="109" spans="2:4" x14ac:dyDescent="0.3">
      <c r="B109" s="78" t="s">
        <v>1024</v>
      </c>
      <c r="C109" s="192"/>
      <c r="D109" s="200"/>
    </row>
    <row r="110" spans="2:4" ht="2.4" customHeight="1" x14ac:dyDescent="0.3">
      <c r="B110" s="21"/>
      <c r="C110" s="19"/>
      <c r="D110" s="20"/>
    </row>
    <row r="111" spans="2:4" ht="30.6" customHeight="1" x14ac:dyDescent="0.3">
      <c r="B111" s="22" t="s">
        <v>1025</v>
      </c>
      <c r="C111" s="19" t="s">
        <v>1026</v>
      </c>
      <c r="D111" s="20" t="s">
        <v>14</v>
      </c>
    </row>
    <row r="112" spans="2:4" ht="3" customHeight="1" x14ac:dyDescent="0.3">
      <c r="B112" s="21"/>
      <c r="C112" s="19"/>
      <c r="D112" s="20"/>
    </row>
    <row r="113" spans="2:4" ht="28.8" x14ac:dyDescent="0.3">
      <c r="B113" s="23" t="s">
        <v>1027</v>
      </c>
      <c r="C113" s="26" t="s">
        <v>1028</v>
      </c>
      <c r="D113" s="25" t="s">
        <v>1029</v>
      </c>
    </row>
    <row r="114" spans="2:4" x14ac:dyDescent="0.3">
      <c r="B114" s="78" t="s">
        <v>1031</v>
      </c>
      <c r="C114" s="192"/>
      <c r="D114" s="193"/>
    </row>
    <row r="115" spans="2:4" ht="4.2" customHeight="1" x14ac:dyDescent="0.3">
      <c r="B115" s="21"/>
      <c r="C115" s="19"/>
      <c r="D115" s="20"/>
    </row>
    <row r="116" spans="2:4" ht="30" customHeight="1" x14ac:dyDescent="0.3">
      <c r="B116" s="22" t="s">
        <v>1032</v>
      </c>
      <c r="C116" s="19" t="s">
        <v>1033</v>
      </c>
      <c r="D116" s="20" t="s">
        <v>14</v>
      </c>
    </row>
    <row r="117" spans="2:4" ht="4.2" customHeight="1" x14ac:dyDescent="0.3">
      <c r="B117" s="21"/>
      <c r="C117" s="19"/>
      <c r="D117" s="20"/>
    </row>
    <row r="118" spans="2:4" ht="31.2" customHeight="1" x14ac:dyDescent="0.3">
      <c r="B118" s="22" t="s">
        <v>1034</v>
      </c>
      <c r="C118" s="19" t="s">
        <v>1062</v>
      </c>
      <c r="D118" s="20" t="s">
        <v>14</v>
      </c>
    </row>
    <row r="119" spans="2:4" ht="4.2" customHeight="1" x14ac:dyDescent="0.3">
      <c r="B119" s="21"/>
      <c r="C119" s="19"/>
      <c r="D119" s="20"/>
    </row>
    <row r="120" spans="2:4" ht="42" customHeight="1" x14ac:dyDescent="0.3">
      <c r="B120" s="22" t="s">
        <v>1036</v>
      </c>
      <c r="C120" s="19" t="s">
        <v>1035</v>
      </c>
      <c r="D120" s="20" t="s">
        <v>14</v>
      </c>
    </row>
    <row r="121" spans="2:4" ht="4.2" customHeight="1" x14ac:dyDescent="0.3">
      <c r="B121" s="21"/>
      <c r="C121" s="19"/>
      <c r="D121" s="20"/>
    </row>
    <row r="122" spans="2:4" ht="43.2" x14ac:dyDescent="0.3">
      <c r="B122" s="22" t="s">
        <v>714</v>
      </c>
      <c r="C122" s="19" t="s">
        <v>1037</v>
      </c>
      <c r="D122" s="25" t="s">
        <v>1038</v>
      </c>
    </row>
    <row r="123" spans="2:4" ht="4.2" customHeight="1" x14ac:dyDescent="0.3">
      <c r="B123" s="21"/>
      <c r="C123" s="19"/>
      <c r="D123" s="20"/>
    </row>
    <row r="124" spans="2:4" ht="57.6" x14ac:dyDescent="0.3">
      <c r="B124" s="22" t="s">
        <v>952</v>
      </c>
      <c r="C124" s="19" t="s">
        <v>1039</v>
      </c>
      <c r="D124" s="25" t="s">
        <v>1040</v>
      </c>
    </row>
    <row r="125" spans="2:4" x14ac:dyDescent="0.3">
      <c r="B125" s="78" t="s">
        <v>1044</v>
      </c>
      <c r="C125" s="192"/>
      <c r="D125" s="202"/>
    </row>
    <row r="126" spans="2:4" ht="4.2" customHeight="1" x14ac:dyDescent="0.3">
      <c r="B126" s="21"/>
      <c r="C126" s="19"/>
      <c r="D126" s="20"/>
    </row>
    <row r="127" spans="2:4" ht="56.4" customHeight="1" x14ac:dyDescent="0.3">
      <c r="B127" s="22" t="s">
        <v>966</v>
      </c>
      <c r="C127" s="19" t="s">
        <v>1046</v>
      </c>
      <c r="D127" s="25" t="s">
        <v>14</v>
      </c>
    </row>
    <row r="128" spans="2:4" ht="4.2" customHeight="1" x14ac:dyDescent="0.3">
      <c r="B128" s="21"/>
      <c r="C128" s="19"/>
      <c r="D128" s="20"/>
    </row>
    <row r="129" spans="2:4" ht="29.4" customHeight="1" x14ac:dyDescent="0.3">
      <c r="B129" s="22" t="s">
        <v>1041</v>
      </c>
      <c r="C129" s="19" t="s">
        <v>1042</v>
      </c>
      <c r="D129" s="20" t="s">
        <v>14</v>
      </c>
    </row>
    <row r="130" spans="2:4" ht="4.2" customHeight="1" x14ac:dyDescent="0.3">
      <c r="B130" s="21"/>
      <c r="C130" s="19"/>
      <c r="D130" s="20"/>
    </row>
    <row r="131" spans="2:4" ht="27.6" customHeight="1" x14ac:dyDescent="0.3">
      <c r="B131" s="22" t="s">
        <v>978</v>
      </c>
      <c r="C131" s="19" t="s">
        <v>1043</v>
      </c>
      <c r="D131" s="203" t="s">
        <v>14</v>
      </c>
    </row>
    <row r="132" spans="2:4" ht="4.2" customHeight="1" x14ac:dyDescent="0.3">
      <c r="B132" s="21"/>
      <c r="C132" s="19"/>
      <c r="D132" s="20"/>
    </row>
    <row r="133" spans="2:4" ht="57" customHeight="1" x14ac:dyDescent="0.3">
      <c r="B133" s="22" t="s">
        <v>1045</v>
      </c>
      <c r="C133" s="19" t="s">
        <v>1164</v>
      </c>
      <c r="D133" s="25" t="s">
        <v>14</v>
      </c>
    </row>
    <row r="134" spans="2:4" ht="4.2" customHeight="1" x14ac:dyDescent="0.3">
      <c r="B134" s="21"/>
      <c r="C134" s="19"/>
      <c r="D134" s="20"/>
    </row>
    <row r="135" spans="2:4" ht="42.6" customHeight="1" x14ac:dyDescent="0.3">
      <c r="B135" s="22" t="s">
        <v>1047</v>
      </c>
      <c r="C135" s="19" t="s">
        <v>1048</v>
      </c>
      <c r="D135" s="25" t="s">
        <v>14</v>
      </c>
    </row>
    <row r="136" spans="2:4" ht="4.2" customHeight="1" x14ac:dyDescent="0.3">
      <c r="B136" s="21"/>
      <c r="C136" s="19"/>
      <c r="D136" s="20"/>
    </row>
    <row r="137" spans="2:4" ht="29.4" customHeight="1" x14ac:dyDescent="0.3">
      <c r="B137" s="22" t="s">
        <v>1019</v>
      </c>
      <c r="C137" s="19" t="s">
        <v>1049</v>
      </c>
      <c r="D137" s="20" t="s">
        <v>14</v>
      </c>
    </row>
    <row r="138" spans="2:4" x14ac:dyDescent="0.3">
      <c r="B138" s="78" t="s">
        <v>1050</v>
      </c>
      <c r="C138" s="192"/>
      <c r="D138" s="202"/>
    </row>
    <row r="139" spans="2:4" ht="4.2" customHeight="1" x14ac:dyDescent="0.3">
      <c r="B139" s="21"/>
      <c r="C139" s="19"/>
      <c r="D139" s="20"/>
    </row>
    <row r="140" spans="2:4" ht="29.4" customHeight="1" x14ac:dyDescent="0.3">
      <c r="B140" s="22" t="s">
        <v>485</v>
      </c>
      <c r="C140" s="19" t="s">
        <v>1063</v>
      </c>
      <c r="D140" s="20" t="s">
        <v>14</v>
      </c>
    </row>
    <row r="141" spans="2:4" ht="4.2" customHeight="1" x14ac:dyDescent="0.3">
      <c r="B141" s="21"/>
      <c r="C141" s="19"/>
      <c r="D141" s="20"/>
    </row>
    <row r="142" spans="2:4" ht="30.6" customHeight="1" x14ac:dyDescent="0.3">
      <c r="B142" s="22" t="s">
        <v>1064</v>
      </c>
      <c r="C142" s="19" t="s">
        <v>1066</v>
      </c>
      <c r="D142" s="20" t="s">
        <v>14</v>
      </c>
    </row>
    <row r="143" spans="2:4" ht="4.2" customHeight="1" x14ac:dyDescent="0.3">
      <c r="B143" s="21"/>
      <c r="C143" s="19"/>
      <c r="D143" s="20"/>
    </row>
    <row r="144" spans="2:4" ht="28.2" customHeight="1" x14ac:dyDescent="0.3">
      <c r="B144" s="22" t="s">
        <v>1065</v>
      </c>
      <c r="C144" s="19" t="s">
        <v>1067</v>
      </c>
      <c r="D144" s="20" t="s">
        <v>14</v>
      </c>
    </row>
    <row r="145" spans="2:4" ht="4.2" customHeight="1" x14ac:dyDescent="0.3">
      <c r="B145" s="21"/>
      <c r="C145" s="19"/>
      <c r="D145" s="20"/>
    </row>
    <row r="146" spans="2:4" ht="56.4" customHeight="1" x14ac:dyDescent="0.3">
      <c r="B146" s="22" t="s">
        <v>1068</v>
      </c>
      <c r="C146" s="19" t="s">
        <v>1079</v>
      </c>
      <c r="D146" s="20" t="s">
        <v>956</v>
      </c>
    </row>
    <row r="147" spans="2:4" ht="4.2" customHeight="1" x14ac:dyDescent="0.3">
      <c r="B147" s="21"/>
      <c r="C147" s="19"/>
      <c r="D147" s="20"/>
    </row>
    <row r="148" spans="2:4" ht="42" customHeight="1" x14ac:dyDescent="0.3">
      <c r="B148" s="22" t="s">
        <v>1019</v>
      </c>
      <c r="C148" s="19" t="s">
        <v>1075</v>
      </c>
      <c r="D148" s="20" t="s">
        <v>14</v>
      </c>
    </row>
    <row r="149" spans="2:4" ht="4.2" customHeight="1" x14ac:dyDescent="0.3">
      <c r="B149" s="21"/>
      <c r="C149" s="19"/>
      <c r="D149" s="20"/>
    </row>
    <row r="150" spans="2:4" ht="42" customHeight="1" x14ac:dyDescent="0.3">
      <c r="B150" s="22" t="s">
        <v>1069</v>
      </c>
      <c r="C150" s="19" t="s">
        <v>1070</v>
      </c>
      <c r="D150" s="20" t="s">
        <v>14</v>
      </c>
    </row>
    <row r="151" spans="2:4" ht="4.2" customHeight="1" x14ac:dyDescent="0.3">
      <c r="B151" s="21"/>
      <c r="C151" s="19"/>
      <c r="D151" s="20"/>
    </row>
    <row r="152" spans="2:4" ht="68.400000000000006" customHeight="1" x14ac:dyDescent="0.3">
      <c r="B152" s="22" t="s">
        <v>1071</v>
      </c>
      <c r="C152" s="19" t="s">
        <v>1072</v>
      </c>
      <c r="D152" s="20" t="s">
        <v>1073</v>
      </c>
    </row>
    <row r="153" spans="2:4" ht="4.2" customHeight="1" x14ac:dyDescent="0.3">
      <c r="B153" s="21"/>
      <c r="C153" s="19"/>
      <c r="D153" s="20"/>
    </row>
    <row r="154" spans="2:4" ht="46.8" customHeight="1" x14ac:dyDescent="0.3">
      <c r="B154" s="22" t="s">
        <v>1074</v>
      </c>
      <c r="C154" s="19" t="s">
        <v>1087</v>
      </c>
      <c r="D154" s="20" t="s">
        <v>14</v>
      </c>
    </row>
    <row r="155" spans="2:4" ht="4.2" customHeight="1" x14ac:dyDescent="0.3">
      <c r="B155" s="21"/>
      <c r="C155" s="19"/>
      <c r="D155" s="20"/>
    </row>
    <row r="156" spans="2:4" ht="29.4" customHeight="1" x14ac:dyDescent="0.3">
      <c r="B156" s="22" t="s">
        <v>1076</v>
      </c>
      <c r="C156" s="19" t="s">
        <v>1077</v>
      </c>
      <c r="D156" s="20" t="s">
        <v>14</v>
      </c>
    </row>
    <row r="157" spans="2:4" ht="4.2" customHeight="1" x14ac:dyDescent="0.3">
      <c r="B157" s="21"/>
      <c r="C157" s="19"/>
      <c r="D157" s="20"/>
    </row>
    <row r="158" spans="2:4" ht="28.8" customHeight="1" x14ac:dyDescent="0.3">
      <c r="B158" s="22" t="s">
        <v>1080</v>
      </c>
      <c r="C158" s="19" t="s">
        <v>1081</v>
      </c>
      <c r="D158" s="20" t="s">
        <v>14</v>
      </c>
    </row>
    <row r="159" spans="2:4" ht="4.2" customHeight="1" x14ac:dyDescent="0.3">
      <c r="B159" s="21"/>
      <c r="C159" s="19"/>
      <c r="D159" s="20"/>
    </row>
    <row r="160" spans="2:4" ht="40.799999999999997" customHeight="1" x14ac:dyDescent="0.3">
      <c r="B160" s="22" t="s">
        <v>1083</v>
      </c>
      <c r="C160" s="19" t="s">
        <v>1084</v>
      </c>
      <c r="D160" s="20" t="s">
        <v>11</v>
      </c>
    </row>
    <row r="161" spans="2:4" ht="4.2" customHeight="1" x14ac:dyDescent="0.3">
      <c r="B161" s="21"/>
      <c r="C161" s="19"/>
      <c r="D161" s="20"/>
    </row>
    <row r="162" spans="2:4" ht="42" customHeight="1" x14ac:dyDescent="0.3">
      <c r="B162" s="22" t="s">
        <v>1085</v>
      </c>
      <c r="C162" s="19" t="s">
        <v>1086</v>
      </c>
      <c r="D162" s="20" t="s">
        <v>14</v>
      </c>
    </row>
    <row r="163" spans="2:4" ht="4.2" customHeight="1" x14ac:dyDescent="0.3">
      <c r="B163" s="21"/>
      <c r="C163" s="19"/>
      <c r="D163" s="20"/>
    </row>
    <row r="164" spans="2:4" ht="31.2" customHeight="1" x14ac:dyDescent="0.3">
      <c r="B164" s="22" t="s">
        <v>1088</v>
      </c>
      <c r="C164" s="19" t="s">
        <v>1089</v>
      </c>
      <c r="D164" s="20" t="s">
        <v>1090</v>
      </c>
    </row>
    <row r="165" spans="2:4" ht="4.2" customHeight="1" x14ac:dyDescent="0.3">
      <c r="B165" s="21"/>
      <c r="C165" s="19"/>
      <c r="D165" s="20"/>
    </row>
    <row r="166" spans="2:4" ht="45.6" customHeight="1" x14ac:dyDescent="0.3">
      <c r="B166" s="22" t="s">
        <v>1091</v>
      </c>
      <c r="C166" s="19" t="s">
        <v>1092</v>
      </c>
      <c r="D166" s="20" t="s">
        <v>1093</v>
      </c>
    </row>
    <row r="167" spans="2:4" ht="4.2" customHeight="1" x14ac:dyDescent="0.3">
      <c r="B167" s="21"/>
      <c r="C167" s="19"/>
      <c r="D167" s="20"/>
    </row>
    <row r="168" spans="2:4" ht="115.2" x14ac:dyDescent="0.3">
      <c r="B168" s="22" t="s">
        <v>370</v>
      </c>
      <c r="C168" s="19" t="s">
        <v>1094</v>
      </c>
      <c r="D168" s="20" t="s">
        <v>1095</v>
      </c>
    </row>
    <row r="169" spans="2:4" ht="4.2" customHeight="1" x14ac:dyDescent="0.3">
      <c r="B169" s="21"/>
      <c r="C169" s="19"/>
      <c r="D169" s="20"/>
    </row>
    <row r="170" spans="2:4" ht="57.6" x14ac:dyDescent="0.3">
      <c r="B170" s="22" t="s">
        <v>1096</v>
      </c>
      <c r="C170" s="19" t="s">
        <v>1097</v>
      </c>
      <c r="D170" s="20" t="s">
        <v>1098</v>
      </c>
    </row>
    <row r="171" spans="2:4" ht="4.2" customHeight="1" x14ac:dyDescent="0.3">
      <c r="B171" s="21"/>
      <c r="C171" s="19"/>
      <c r="D171" s="20"/>
    </row>
    <row r="172" spans="2:4" ht="42.6" customHeight="1" x14ac:dyDescent="0.3">
      <c r="B172" s="22" t="s">
        <v>1099</v>
      </c>
      <c r="C172" s="19" t="s">
        <v>1100</v>
      </c>
      <c r="D172" s="20" t="s">
        <v>1101</v>
      </c>
    </row>
    <row r="173" spans="2:4" ht="13.8" x14ac:dyDescent="0.3">
      <c r="B173" s="78" t="s">
        <v>1102</v>
      </c>
      <c r="C173" s="205"/>
      <c r="D173" s="206"/>
    </row>
    <row r="174" spans="2:4" ht="4.2" customHeight="1" x14ac:dyDescent="0.3">
      <c r="B174" s="21"/>
      <c r="C174" s="19"/>
      <c r="D174" s="20"/>
    </row>
    <row r="175" spans="2:4" ht="17.399999999999999" customHeight="1" x14ac:dyDescent="0.3">
      <c r="B175" s="22" t="s">
        <v>1106</v>
      </c>
      <c r="C175" s="19" t="s">
        <v>1113</v>
      </c>
      <c r="D175" s="20" t="s">
        <v>14</v>
      </c>
    </row>
    <row r="176" spans="2:4" ht="4.2" customHeight="1" x14ac:dyDescent="0.3">
      <c r="B176" s="21"/>
      <c r="C176" s="19"/>
      <c r="D176" s="20"/>
    </row>
    <row r="177" spans="2:4" ht="43.8" customHeight="1" x14ac:dyDescent="0.3">
      <c r="B177" s="22" t="s">
        <v>1103</v>
      </c>
      <c r="C177" s="19" t="s">
        <v>1128</v>
      </c>
      <c r="D177" s="20" t="s">
        <v>14</v>
      </c>
    </row>
    <row r="178" spans="2:4" ht="4.2" customHeight="1" x14ac:dyDescent="0.3">
      <c r="B178" s="21"/>
      <c r="C178" s="19"/>
      <c r="D178" s="20"/>
    </row>
    <row r="179" spans="2:4" ht="68.400000000000006" customHeight="1" x14ac:dyDescent="0.3">
      <c r="B179" s="22" t="s">
        <v>1108</v>
      </c>
      <c r="C179" s="19" t="s">
        <v>1118</v>
      </c>
      <c r="D179" s="20" t="s">
        <v>14</v>
      </c>
    </row>
    <row r="180" spans="2:4" ht="4.2" customHeight="1" x14ac:dyDescent="0.3">
      <c r="B180" s="21"/>
      <c r="C180" s="19"/>
      <c r="D180" s="20"/>
    </row>
    <row r="181" spans="2:4" ht="58.2" customHeight="1" x14ac:dyDescent="0.3">
      <c r="B181" s="22" t="s">
        <v>1127</v>
      </c>
      <c r="C181" s="19" t="s">
        <v>1134</v>
      </c>
      <c r="D181" s="20" t="s">
        <v>14</v>
      </c>
    </row>
    <row r="182" spans="2:4" ht="4.2" customHeight="1" x14ac:dyDescent="0.3">
      <c r="B182" s="21"/>
      <c r="C182" s="19"/>
      <c r="D182" s="20"/>
    </row>
    <row r="183" spans="2:4" ht="55.2" customHeight="1" x14ac:dyDescent="0.3">
      <c r="B183" s="22" t="s">
        <v>1104</v>
      </c>
      <c r="C183" s="19" t="s">
        <v>1133</v>
      </c>
      <c r="D183" s="20" t="s">
        <v>1109</v>
      </c>
    </row>
    <row r="184" spans="2:4" ht="4.2" customHeight="1" x14ac:dyDescent="0.3">
      <c r="B184" s="21"/>
      <c r="C184" s="19"/>
      <c r="D184" s="20"/>
    </row>
    <row r="185" spans="2:4" ht="68.400000000000006" customHeight="1" x14ac:dyDescent="0.3">
      <c r="B185" s="22" t="s">
        <v>1105</v>
      </c>
      <c r="C185" s="19" t="s">
        <v>1135</v>
      </c>
      <c r="D185" s="20" t="s">
        <v>14</v>
      </c>
    </row>
    <row r="186" spans="2:4" ht="4.2" customHeight="1" x14ac:dyDescent="0.3">
      <c r="B186" s="21"/>
      <c r="C186" s="19"/>
      <c r="D186" s="20"/>
    </row>
    <row r="187" spans="2:4" ht="42" customHeight="1" x14ac:dyDescent="0.3">
      <c r="B187" s="22" t="s">
        <v>1107</v>
      </c>
      <c r="C187" s="19" t="s">
        <v>1114</v>
      </c>
      <c r="D187" s="20" t="s">
        <v>14</v>
      </c>
    </row>
    <row r="188" spans="2:4" ht="4.2" customHeight="1" x14ac:dyDescent="0.3">
      <c r="B188" s="21"/>
      <c r="C188" s="19"/>
      <c r="D188" s="20"/>
    </row>
    <row r="189" spans="2:4" ht="17.399999999999999" customHeight="1" x14ac:dyDescent="0.3">
      <c r="B189" s="22" t="s">
        <v>646</v>
      </c>
      <c r="C189" s="19" t="s">
        <v>1111</v>
      </c>
      <c r="D189" s="20" t="s">
        <v>14</v>
      </c>
    </row>
    <row r="190" spans="2:4" ht="4.2" customHeight="1" x14ac:dyDescent="0.3">
      <c r="B190" s="21"/>
      <c r="C190" s="19"/>
      <c r="D190" s="20"/>
    </row>
    <row r="191" spans="2:4" ht="18.600000000000001" customHeight="1" x14ac:dyDescent="0.3">
      <c r="B191" s="22" t="s">
        <v>1110</v>
      </c>
      <c r="C191" s="19" t="s">
        <v>1112</v>
      </c>
      <c r="D191" s="20" t="s">
        <v>14</v>
      </c>
    </row>
    <row r="192" spans="2:4" ht="4.2" customHeight="1" x14ac:dyDescent="0.3">
      <c r="B192" s="21"/>
      <c r="C192" s="19"/>
      <c r="D192" s="20"/>
    </row>
    <row r="193" spans="2:4" ht="27.6" customHeight="1" x14ac:dyDescent="0.3">
      <c r="B193" s="22" t="s">
        <v>1115</v>
      </c>
      <c r="C193" s="19" t="s">
        <v>1116</v>
      </c>
      <c r="D193" s="20" t="s">
        <v>14</v>
      </c>
    </row>
    <row r="194" spans="2:4" ht="4.2" customHeight="1" x14ac:dyDescent="0.3">
      <c r="B194" s="21"/>
      <c r="C194" s="19"/>
      <c r="D194" s="20"/>
    </row>
    <row r="195" spans="2:4" ht="29.4" customHeight="1" x14ac:dyDescent="0.3">
      <c r="B195" s="22" t="s">
        <v>1019</v>
      </c>
      <c r="C195" s="19" t="s">
        <v>1117</v>
      </c>
      <c r="D195" s="20" t="s">
        <v>14</v>
      </c>
    </row>
    <row r="196" spans="2:4" ht="4.2" customHeight="1" x14ac:dyDescent="0.3">
      <c r="B196" s="21"/>
      <c r="C196" s="19"/>
      <c r="D196" s="20"/>
    </row>
    <row r="197" spans="2:4" ht="28.8" customHeight="1" x14ac:dyDescent="0.3">
      <c r="B197" s="22" t="s">
        <v>1119</v>
      </c>
      <c r="C197" s="19" t="s">
        <v>1124</v>
      </c>
      <c r="D197" s="20" t="s">
        <v>14</v>
      </c>
    </row>
    <row r="198" spans="2:4" ht="4.2" customHeight="1" x14ac:dyDescent="0.3">
      <c r="B198" s="21"/>
      <c r="C198" s="19"/>
      <c r="D198" s="20"/>
    </row>
    <row r="199" spans="2:4" ht="30" customHeight="1" x14ac:dyDescent="0.3">
      <c r="B199" s="22" t="s">
        <v>1120</v>
      </c>
      <c r="C199" s="19" t="s">
        <v>1121</v>
      </c>
      <c r="D199" s="20" t="s">
        <v>1122</v>
      </c>
    </row>
    <row r="200" spans="2:4" ht="4.2" customHeight="1" x14ac:dyDescent="0.3">
      <c r="B200" s="21"/>
      <c r="C200" s="19"/>
      <c r="D200" s="20"/>
    </row>
    <row r="201" spans="2:4" ht="70.8" customHeight="1" x14ac:dyDescent="0.3">
      <c r="B201" s="22" t="s">
        <v>693</v>
      </c>
      <c r="C201" s="19" t="s">
        <v>1123</v>
      </c>
      <c r="D201" s="20" t="s">
        <v>14</v>
      </c>
    </row>
    <row r="202" spans="2:4" ht="4.2" customHeight="1" x14ac:dyDescent="0.3">
      <c r="B202" s="21"/>
      <c r="C202" s="19"/>
      <c r="D202" s="20"/>
    </row>
    <row r="203" spans="2:4" ht="27.6" customHeight="1" x14ac:dyDescent="0.3">
      <c r="B203" s="22" t="s">
        <v>1125</v>
      </c>
      <c r="C203" s="19" t="s">
        <v>1126</v>
      </c>
      <c r="D203" s="20" t="s">
        <v>12</v>
      </c>
    </row>
    <row r="204" spans="2:4" ht="4.2" customHeight="1" x14ac:dyDescent="0.3">
      <c r="B204" s="21"/>
      <c r="C204" s="19"/>
      <c r="D204" s="20"/>
    </row>
    <row r="205" spans="2:4" ht="29.4" customHeight="1" x14ac:dyDescent="0.3">
      <c r="B205" s="22" t="s">
        <v>1129</v>
      </c>
      <c r="C205" s="19" t="s">
        <v>1130</v>
      </c>
      <c r="D205" s="20" t="s">
        <v>14</v>
      </c>
    </row>
    <row r="206" spans="2:4" ht="4.2" customHeight="1" x14ac:dyDescent="0.3">
      <c r="B206" s="21"/>
      <c r="C206" s="19"/>
      <c r="D206" s="20"/>
    </row>
    <row r="207" spans="2:4" ht="29.4" customHeight="1" x14ac:dyDescent="0.3">
      <c r="B207" s="22" t="s">
        <v>1131</v>
      </c>
      <c r="C207" s="19" t="s">
        <v>1132</v>
      </c>
      <c r="D207" s="20" t="s">
        <v>14</v>
      </c>
    </row>
    <row r="208" spans="2:4" ht="4.2" customHeight="1" x14ac:dyDescent="0.3">
      <c r="B208" s="21"/>
      <c r="C208" s="19"/>
      <c r="D208" s="20"/>
    </row>
    <row r="209" spans="2:4" ht="30" customHeight="1" x14ac:dyDescent="0.3">
      <c r="B209" s="22" t="s">
        <v>535</v>
      </c>
      <c r="C209" s="19" t="s">
        <v>1136</v>
      </c>
      <c r="D209" s="20" t="s">
        <v>14</v>
      </c>
    </row>
    <row r="210" spans="2:4" x14ac:dyDescent="0.3">
      <c r="B210" s="78" t="s">
        <v>1137</v>
      </c>
      <c r="C210" s="192"/>
      <c r="D210" s="193"/>
    </row>
    <row r="211" spans="2:4" ht="4.2" customHeight="1" x14ac:dyDescent="0.3">
      <c r="B211" s="21"/>
      <c r="C211" s="19"/>
      <c r="D211" s="20"/>
    </row>
    <row r="212" spans="2:4" ht="15.6" customHeight="1" x14ac:dyDescent="0.3">
      <c r="B212" s="22" t="s">
        <v>1146</v>
      </c>
      <c r="C212" s="19" t="s">
        <v>1147</v>
      </c>
      <c r="D212" s="20" t="s">
        <v>14</v>
      </c>
    </row>
    <row r="213" spans="2:4" ht="4.2" customHeight="1" x14ac:dyDescent="0.3">
      <c r="B213" s="21"/>
      <c r="C213" s="19"/>
      <c r="D213" s="20"/>
    </row>
    <row r="214" spans="2:4" ht="88.8" customHeight="1" x14ac:dyDescent="0.3">
      <c r="B214" s="22" t="s">
        <v>1138</v>
      </c>
      <c r="C214" s="19" t="s">
        <v>1142</v>
      </c>
      <c r="D214" s="20" t="s">
        <v>14</v>
      </c>
    </row>
    <row r="215" spans="2:4" ht="4.2" customHeight="1" x14ac:dyDescent="0.3">
      <c r="B215" s="21"/>
      <c r="C215" s="19"/>
      <c r="D215" s="20"/>
    </row>
    <row r="216" spans="2:4" ht="29.4" customHeight="1" x14ac:dyDescent="0.3">
      <c r="B216" s="22" t="s">
        <v>1139</v>
      </c>
      <c r="C216" s="19" t="s">
        <v>1140</v>
      </c>
      <c r="D216" s="20" t="s">
        <v>14</v>
      </c>
    </row>
    <row r="217" spans="2:4" ht="4.2" customHeight="1" x14ac:dyDescent="0.3">
      <c r="B217" s="21"/>
      <c r="C217" s="19"/>
      <c r="D217" s="20"/>
    </row>
    <row r="218" spans="2:4" ht="55.8" customHeight="1" x14ac:dyDescent="0.3">
      <c r="B218" s="22" t="s">
        <v>419</v>
      </c>
      <c r="C218" s="19" t="s">
        <v>1148</v>
      </c>
      <c r="D218" s="20" t="s">
        <v>1162</v>
      </c>
    </row>
    <row r="219" spans="2:4" ht="4.2" customHeight="1" x14ac:dyDescent="0.3">
      <c r="B219" s="21"/>
      <c r="C219" s="19"/>
      <c r="D219" s="20"/>
    </row>
    <row r="220" spans="2:4" ht="15.6" customHeight="1" x14ac:dyDescent="0.3">
      <c r="B220" s="22" t="s">
        <v>404</v>
      </c>
      <c r="C220" s="19" t="s">
        <v>1141</v>
      </c>
      <c r="D220" s="20" t="s">
        <v>14</v>
      </c>
    </row>
    <row r="221" spans="2:4" ht="4.2" customHeight="1" x14ac:dyDescent="0.3">
      <c r="B221" s="21"/>
      <c r="C221" s="19"/>
      <c r="D221" s="20"/>
    </row>
    <row r="222" spans="2:4" ht="42" customHeight="1" x14ac:dyDescent="0.3">
      <c r="B222" s="22" t="s">
        <v>1143</v>
      </c>
      <c r="C222" s="19" t="s">
        <v>1144</v>
      </c>
      <c r="D222" s="20" t="s">
        <v>14</v>
      </c>
    </row>
    <row r="223" spans="2:4" ht="4.2" customHeight="1" x14ac:dyDescent="0.3">
      <c r="B223" s="21"/>
      <c r="C223" s="19"/>
      <c r="D223" s="20"/>
    </row>
    <row r="224" spans="2:4" ht="31.8" customHeight="1" x14ac:dyDescent="0.3">
      <c r="B224" s="22" t="s">
        <v>1019</v>
      </c>
      <c r="C224" s="19" t="s">
        <v>1145</v>
      </c>
      <c r="D224" s="20" t="s">
        <v>14</v>
      </c>
    </row>
    <row r="225" spans="2:4" ht="4.2" customHeight="1" x14ac:dyDescent="0.3">
      <c r="B225" s="21"/>
      <c r="C225" s="19"/>
      <c r="D225" s="20"/>
    </row>
    <row r="226" spans="2:4" ht="17.399999999999999" customHeight="1" x14ac:dyDescent="0.3">
      <c r="B226" s="22" t="s">
        <v>1149</v>
      </c>
      <c r="C226" s="19" t="s">
        <v>1150</v>
      </c>
      <c r="D226" s="20" t="s">
        <v>14</v>
      </c>
    </row>
    <row r="227" spans="2:4" x14ac:dyDescent="0.3">
      <c r="B227" s="78" t="s">
        <v>1151</v>
      </c>
      <c r="C227" s="192"/>
      <c r="D227" s="193"/>
    </row>
    <row r="228" spans="2:4" ht="4.2" customHeight="1" x14ac:dyDescent="0.3">
      <c r="B228" s="21"/>
      <c r="C228" s="19"/>
      <c r="D228" s="20"/>
    </row>
    <row r="229" spans="2:4" ht="114.6" customHeight="1" x14ac:dyDescent="0.3">
      <c r="B229" s="22" t="s">
        <v>966</v>
      </c>
      <c r="C229" s="19" t="s">
        <v>1154</v>
      </c>
      <c r="D229" s="20" t="s">
        <v>1153</v>
      </c>
    </row>
    <row r="230" spans="2:4" ht="4.2" customHeight="1" x14ac:dyDescent="0.3">
      <c r="B230" s="21"/>
      <c r="C230" s="19"/>
      <c r="D230" s="20"/>
    </row>
    <row r="231" spans="2:4" ht="87.6" customHeight="1" x14ac:dyDescent="0.3">
      <c r="B231" s="22" t="s">
        <v>1152</v>
      </c>
      <c r="C231" s="19" t="s">
        <v>1155</v>
      </c>
      <c r="D231" s="20" t="s">
        <v>14</v>
      </c>
    </row>
    <row r="232" spans="2:4" ht="4.2" customHeight="1" x14ac:dyDescent="0.3">
      <c r="B232" s="21"/>
      <c r="C232" s="19"/>
      <c r="D232" s="20"/>
    </row>
    <row r="233" spans="2:4" ht="30" customHeight="1" x14ac:dyDescent="0.3">
      <c r="B233" s="22" t="s">
        <v>992</v>
      </c>
      <c r="C233" s="19" t="s">
        <v>1156</v>
      </c>
      <c r="D233" s="20" t="s">
        <v>14</v>
      </c>
    </row>
    <row r="234" spans="2:4" x14ac:dyDescent="0.3">
      <c r="B234" s="78" t="s">
        <v>1157</v>
      </c>
      <c r="C234" s="192"/>
      <c r="D234" s="193"/>
    </row>
    <row r="235" spans="2:4" ht="4.2" customHeight="1" x14ac:dyDescent="0.3">
      <c r="B235" s="21"/>
      <c r="C235" s="19"/>
      <c r="D235" s="20"/>
    </row>
    <row r="236" spans="2:4" ht="44.4" customHeight="1" x14ac:dyDescent="0.3">
      <c r="B236" s="22" t="s">
        <v>966</v>
      </c>
      <c r="C236" s="19" t="s">
        <v>1158</v>
      </c>
      <c r="D236" s="20" t="s">
        <v>1159</v>
      </c>
    </row>
    <row r="237" spans="2:4" ht="13.8" x14ac:dyDescent="0.3">
      <c r="B237" s="78" t="s">
        <v>1160</v>
      </c>
      <c r="C237" s="205"/>
      <c r="D237" s="206"/>
    </row>
    <row r="238" spans="2:4" ht="4.2" customHeight="1" x14ac:dyDescent="0.3">
      <c r="B238" s="21"/>
      <c r="C238" s="19"/>
      <c r="D238" s="20"/>
    </row>
    <row r="239" spans="2:4" ht="72" x14ac:dyDescent="0.3">
      <c r="B239" s="22" t="s">
        <v>554</v>
      </c>
      <c r="C239" s="19" t="s">
        <v>1161</v>
      </c>
      <c r="D239" s="20" t="s">
        <v>1205</v>
      </c>
    </row>
    <row r="240" spans="2:4" ht="4.2" customHeight="1" x14ac:dyDescent="0.3">
      <c r="B240" s="21"/>
      <c r="C240" s="19"/>
      <c r="D240" s="20"/>
    </row>
    <row r="241" spans="2:4" ht="31.2" customHeight="1" x14ac:dyDescent="0.3">
      <c r="B241" s="22" t="s">
        <v>991</v>
      </c>
      <c r="C241" s="19" t="s">
        <v>1163</v>
      </c>
      <c r="D241" s="20" t="s">
        <v>14</v>
      </c>
    </row>
    <row r="242" spans="2:4" ht="4.2" customHeight="1" x14ac:dyDescent="0.3">
      <c r="B242" s="21"/>
      <c r="C242" s="19"/>
      <c r="D242" s="20"/>
    </row>
    <row r="243" spans="2:4" ht="198" x14ac:dyDescent="0.3">
      <c r="B243" s="22" t="s">
        <v>971</v>
      </c>
      <c r="C243" s="19" t="s">
        <v>1167</v>
      </c>
      <c r="D243" s="20" t="s">
        <v>14</v>
      </c>
    </row>
    <row r="244" spans="2:4" ht="4.2" customHeight="1" x14ac:dyDescent="0.3">
      <c r="B244" s="21"/>
      <c r="C244" s="19"/>
      <c r="D244" s="20"/>
    </row>
    <row r="245" spans="2:4" ht="58.2" customHeight="1" x14ac:dyDescent="0.3">
      <c r="B245" s="22" t="s">
        <v>1165</v>
      </c>
      <c r="C245" s="19" t="s">
        <v>1166</v>
      </c>
      <c r="D245" s="20" t="s">
        <v>14</v>
      </c>
    </row>
    <row r="246" spans="2:4" ht="13.8" x14ac:dyDescent="0.3">
      <c r="B246" s="78" t="s">
        <v>1168</v>
      </c>
      <c r="C246" s="205"/>
      <c r="D246" s="206"/>
    </row>
    <row r="247" spans="2:4" ht="4.2" customHeight="1" x14ac:dyDescent="0.3">
      <c r="B247" s="21"/>
      <c r="C247" s="19"/>
      <c r="D247" s="20"/>
    </row>
    <row r="248" spans="2:4" ht="44.4" customHeight="1" x14ac:dyDescent="0.3">
      <c r="B248" s="22" t="s">
        <v>966</v>
      </c>
      <c r="C248" s="19" t="s">
        <v>1177</v>
      </c>
      <c r="D248" s="20" t="s">
        <v>14</v>
      </c>
    </row>
    <row r="249" spans="2:4" ht="4.2" customHeight="1" x14ac:dyDescent="0.3">
      <c r="B249" s="21"/>
      <c r="C249" s="19"/>
      <c r="D249" s="20"/>
    </row>
    <row r="250" spans="2:4" ht="84.6" customHeight="1" x14ac:dyDescent="0.3">
      <c r="B250" s="22" t="s">
        <v>1170</v>
      </c>
      <c r="C250" s="19" t="s">
        <v>1178</v>
      </c>
      <c r="D250" s="20" t="s">
        <v>14</v>
      </c>
    </row>
    <row r="251" spans="2:4" ht="4.2" customHeight="1" x14ac:dyDescent="0.3">
      <c r="B251" s="21"/>
      <c r="C251" s="19"/>
      <c r="D251" s="20"/>
    </row>
    <row r="252" spans="2:4" ht="72" x14ac:dyDescent="0.3">
      <c r="B252" s="22" t="s">
        <v>1169</v>
      </c>
      <c r="C252" s="19" t="s">
        <v>1179</v>
      </c>
      <c r="D252" s="20" t="s">
        <v>1180</v>
      </c>
    </row>
    <row r="253" spans="2:4" ht="4.2" customHeight="1" x14ac:dyDescent="0.3">
      <c r="B253" s="21"/>
      <c r="C253" s="19"/>
      <c r="D253" s="20"/>
    </row>
    <row r="254" spans="2:4" ht="86.4" x14ac:dyDescent="0.3">
      <c r="B254" s="22" t="s">
        <v>1171</v>
      </c>
      <c r="C254" s="19" t="s">
        <v>1172</v>
      </c>
      <c r="D254" s="20" t="s">
        <v>1173</v>
      </c>
    </row>
    <row r="255" spans="2:4" ht="4.2" customHeight="1" x14ac:dyDescent="0.3">
      <c r="B255" s="21"/>
      <c r="C255" s="19"/>
      <c r="D255" s="20"/>
    </row>
    <row r="256" spans="2:4" ht="28.8" x14ac:dyDescent="0.3">
      <c r="B256" s="22" t="s">
        <v>1174</v>
      </c>
      <c r="C256" s="19" t="s">
        <v>1175</v>
      </c>
      <c r="D256" s="20" t="s">
        <v>1184</v>
      </c>
    </row>
    <row r="257" spans="2:4" ht="4.2" customHeight="1" x14ac:dyDescent="0.3">
      <c r="B257" s="21"/>
      <c r="C257" s="19"/>
      <c r="D257" s="20"/>
    </row>
    <row r="258" spans="2:4" ht="43.8" customHeight="1" x14ac:dyDescent="0.3">
      <c r="B258" s="22" t="s">
        <v>1019</v>
      </c>
      <c r="C258" s="19" t="s">
        <v>1181</v>
      </c>
      <c r="D258" s="20" t="s">
        <v>14</v>
      </c>
    </row>
    <row r="259" spans="2:4" ht="4.2" customHeight="1" x14ac:dyDescent="0.3">
      <c r="B259" s="21"/>
      <c r="C259" s="19"/>
      <c r="D259" s="20"/>
    </row>
    <row r="260" spans="2:4" ht="30" customHeight="1" x14ac:dyDescent="0.3">
      <c r="B260" s="22" t="s">
        <v>1182</v>
      </c>
      <c r="C260" s="19" t="s">
        <v>1183</v>
      </c>
      <c r="D260" s="20" t="s">
        <v>1176</v>
      </c>
    </row>
    <row r="261" spans="2:4" ht="4.2" customHeight="1" x14ac:dyDescent="0.3">
      <c r="B261" s="21"/>
      <c r="C261" s="19"/>
      <c r="D261" s="20"/>
    </row>
    <row r="262" spans="2:4" ht="30" customHeight="1" x14ac:dyDescent="0.3">
      <c r="B262" s="22" t="s">
        <v>952</v>
      </c>
      <c r="C262" s="19" t="s">
        <v>1185</v>
      </c>
      <c r="D262" s="20" t="s">
        <v>14</v>
      </c>
    </row>
    <row r="263" spans="2:4" ht="4.2" customHeight="1" x14ac:dyDescent="0.3">
      <c r="B263" s="21"/>
      <c r="C263" s="19"/>
      <c r="D263" s="20"/>
    </row>
    <row r="264" spans="2:4" ht="30" customHeight="1" x14ac:dyDescent="0.3">
      <c r="B264" s="22" t="s">
        <v>1186</v>
      </c>
      <c r="C264" s="19" t="s">
        <v>1187</v>
      </c>
      <c r="D264" s="20" t="s">
        <v>956</v>
      </c>
    </row>
    <row r="265" spans="2:4" ht="4.2" customHeight="1" x14ac:dyDescent="0.3">
      <c r="B265" s="21"/>
      <c r="C265" s="19"/>
      <c r="D265" s="20"/>
    </row>
    <row r="266" spans="2:4" ht="29.4" customHeight="1" x14ac:dyDescent="0.3">
      <c r="B266" s="22" t="s">
        <v>987</v>
      </c>
      <c r="C266" s="19" t="s">
        <v>1188</v>
      </c>
      <c r="D266" s="20" t="s">
        <v>14</v>
      </c>
    </row>
    <row r="267" spans="2:4" x14ac:dyDescent="0.3">
      <c r="B267" s="78" t="s">
        <v>1189</v>
      </c>
      <c r="C267" s="192"/>
      <c r="D267" s="193"/>
    </row>
    <row r="268" spans="2:4" ht="4.2" customHeight="1" x14ac:dyDescent="0.3">
      <c r="B268" s="21"/>
      <c r="C268" s="19"/>
      <c r="D268" s="20"/>
    </row>
    <row r="269" spans="2:4" ht="57.6" x14ac:dyDescent="0.3">
      <c r="B269" s="22" t="s">
        <v>966</v>
      </c>
      <c r="C269" s="19" t="s">
        <v>1197</v>
      </c>
      <c r="D269" s="20" t="s">
        <v>1196</v>
      </c>
    </row>
    <row r="270" spans="2:4" ht="4.2" customHeight="1" x14ac:dyDescent="0.3">
      <c r="B270" s="21"/>
      <c r="C270" s="19"/>
      <c r="D270" s="20"/>
    </row>
    <row r="271" spans="2:4" ht="16.8" customHeight="1" x14ac:dyDescent="0.3">
      <c r="B271" s="22" t="s">
        <v>1190</v>
      </c>
      <c r="C271" s="19" t="s">
        <v>1192</v>
      </c>
      <c r="D271" s="20" t="s">
        <v>14</v>
      </c>
    </row>
    <row r="272" spans="2:4" ht="4.2" customHeight="1" x14ac:dyDescent="0.3">
      <c r="B272" s="21"/>
      <c r="C272" s="19"/>
      <c r="D272" s="20"/>
    </row>
    <row r="273" spans="2:4" ht="42.6" customHeight="1" x14ac:dyDescent="0.3">
      <c r="B273" s="22" t="s">
        <v>1191</v>
      </c>
      <c r="C273" s="19" t="s">
        <v>1198</v>
      </c>
      <c r="D273" s="20" t="s">
        <v>14</v>
      </c>
    </row>
    <row r="274" spans="2:4" ht="4.2" customHeight="1" x14ac:dyDescent="0.3">
      <c r="B274" s="21"/>
      <c r="C274" s="19"/>
      <c r="D274" s="20"/>
    </row>
    <row r="275" spans="2:4" ht="28.8" x14ac:dyDescent="0.3">
      <c r="B275" s="22" t="s">
        <v>1193</v>
      </c>
      <c r="C275" s="19" t="s">
        <v>1194</v>
      </c>
      <c r="D275" s="20" t="s">
        <v>1195</v>
      </c>
    </row>
    <row r="276" spans="2:4" ht="4.2" customHeight="1" x14ac:dyDescent="0.3">
      <c r="B276" s="21"/>
      <c r="C276" s="19"/>
      <c r="D276" s="20"/>
    </row>
    <row r="277" spans="2:4" ht="17.399999999999999" customHeight="1" x14ac:dyDescent="0.3">
      <c r="B277" s="22" t="s">
        <v>1051</v>
      </c>
      <c r="C277" s="19" t="s">
        <v>1199</v>
      </c>
      <c r="D277" s="20" t="s">
        <v>12</v>
      </c>
    </row>
    <row r="278" spans="2:4" ht="13.8" x14ac:dyDescent="0.3">
      <c r="B278" s="78" t="s">
        <v>1200</v>
      </c>
      <c r="C278" s="205"/>
      <c r="D278" s="206"/>
    </row>
    <row r="279" spans="2:4" ht="4.2" customHeight="1" x14ac:dyDescent="0.3">
      <c r="B279" s="21"/>
      <c r="C279" s="19"/>
      <c r="D279" s="20"/>
    </row>
    <row r="280" spans="2:4" ht="158.4" x14ac:dyDescent="0.3">
      <c r="B280" s="22" t="s">
        <v>1201</v>
      </c>
      <c r="C280" s="19" t="s">
        <v>1206</v>
      </c>
      <c r="D280" s="20" t="s">
        <v>1202</v>
      </c>
    </row>
    <row r="281" spans="2:4" ht="4.2" customHeight="1" x14ac:dyDescent="0.3">
      <c r="B281" s="21"/>
      <c r="C281" s="19"/>
      <c r="D281" s="20"/>
    </row>
    <row r="282" spans="2:4" ht="61.2" customHeight="1" x14ac:dyDescent="0.3">
      <c r="B282" s="22" t="s">
        <v>1203</v>
      </c>
      <c r="C282" s="19" t="s">
        <v>1204</v>
      </c>
      <c r="D282" s="20" t="s">
        <v>14</v>
      </c>
    </row>
    <row r="283" spans="2:4" ht="13.8" x14ac:dyDescent="0.3">
      <c r="B283" s="78" t="s">
        <v>1207</v>
      </c>
      <c r="C283" s="205"/>
      <c r="D283" s="206"/>
    </row>
    <row r="284" spans="2:4" ht="4.2" customHeight="1" x14ac:dyDescent="0.3">
      <c r="B284" s="21"/>
      <c r="C284" s="19"/>
      <c r="D284" s="20"/>
    </row>
    <row r="285" spans="2:4" ht="45.6" customHeight="1" x14ac:dyDescent="0.3">
      <c r="B285" s="22" t="s">
        <v>1219</v>
      </c>
      <c r="C285" s="19" t="s">
        <v>1220</v>
      </c>
      <c r="D285" s="20" t="s">
        <v>14</v>
      </c>
    </row>
    <row r="286" spans="2:4" ht="4.2" customHeight="1" x14ac:dyDescent="0.3">
      <c r="B286" s="21"/>
      <c r="C286" s="19"/>
      <c r="D286" s="20"/>
    </row>
    <row r="287" spans="2:4" ht="26.4" x14ac:dyDescent="0.3">
      <c r="B287" s="22" t="s">
        <v>978</v>
      </c>
      <c r="C287" s="19" t="s">
        <v>1208</v>
      </c>
      <c r="D287" s="20" t="s">
        <v>14</v>
      </c>
    </row>
    <row r="288" spans="2:4" ht="4.2" customHeight="1" x14ac:dyDescent="0.3">
      <c r="B288" s="21"/>
      <c r="C288" s="19"/>
      <c r="D288" s="20"/>
    </row>
    <row r="289" spans="2:4" ht="43.8" customHeight="1" x14ac:dyDescent="0.3">
      <c r="B289" s="22" t="s">
        <v>1209</v>
      </c>
      <c r="C289" s="19" t="s">
        <v>1210</v>
      </c>
      <c r="D289" s="20" t="s">
        <v>14</v>
      </c>
    </row>
    <row r="290" spans="2:4" ht="4.2" customHeight="1" x14ac:dyDescent="0.3">
      <c r="B290" s="21"/>
      <c r="C290" s="19"/>
      <c r="D290" s="20"/>
    </row>
    <row r="291" spans="2:4" ht="30.6" customHeight="1" x14ac:dyDescent="0.3">
      <c r="B291" s="22" t="s">
        <v>1211</v>
      </c>
      <c r="C291" s="19" t="s">
        <v>1212</v>
      </c>
      <c r="D291" s="20" t="s">
        <v>14</v>
      </c>
    </row>
    <row r="292" spans="2:4" ht="4.2" customHeight="1" x14ac:dyDescent="0.3">
      <c r="B292" s="21"/>
      <c r="C292" s="19"/>
      <c r="D292" s="20"/>
    </row>
    <row r="293" spans="2:4" ht="30" customHeight="1" x14ac:dyDescent="0.3">
      <c r="B293" s="22" t="s">
        <v>1213</v>
      </c>
      <c r="C293" s="19" t="s">
        <v>1214</v>
      </c>
      <c r="D293" s="20" t="s">
        <v>12</v>
      </c>
    </row>
    <row r="294" spans="2:4" ht="4.2" customHeight="1" x14ac:dyDescent="0.3">
      <c r="B294" s="21"/>
      <c r="C294" s="19"/>
      <c r="D294" s="20"/>
    </row>
    <row r="295" spans="2:4" ht="72" x14ac:dyDescent="0.3">
      <c r="B295" s="22" t="s">
        <v>1215</v>
      </c>
      <c r="C295" s="19" t="s">
        <v>1221</v>
      </c>
      <c r="D295" s="20" t="s">
        <v>1216</v>
      </c>
    </row>
    <row r="296" spans="2:4" ht="4.2" customHeight="1" x14ac:dyDescent="0.3">
      <c r="B296" s="21"/>
      <c r="C296" s="19"/>
      <c r="D296" s="20"/>
    </row>
    <row r="297" spans="2:4" ht="47.4" customHeight="1" x14ac:dyDescent="0.3">
      <c r="B297" s="22" t="s">
        <v>1217</v>
      </c>
      <c r="C297" s="19" t="s">
        <v>1218</v>
      </c>
      <c r="D297" s="20" t="s">
        <v>14</v>
      </c>
    </row>
    <row r="298" spans="2:4" ht="13.8" x14ac:dyDescent="0.3">
      <c r="B298" s="78" t="s">
        <v>1222</v>
      </c>
      <c r="C298" s="205"/>
      <c r="D298" s="206"/>
    </row>
    <row r="299" spans="2:4" ht="4.2" customHeight="1" x14ac:dyDescent="0.3">
      <c r="B299" s="21"/>
      <c r="C299" s="19"/>
      <c r="D299" s="20"/>
    </row>
    <row r="300" spans="2:4" ht="86.4" x14ac:dyDescent="0.3">
      <c r="B300" s="22" t="s">
        <v>966</v>
      </c>
      <c r="C300" s="19" t="s">
        <v>1223</v>
      </c>
      <c r="D300" s="20" t="s">
        <v>1224</v>
      </c>
    </row>
    <row r="301" spans="2:4" ht="4.2" customHeight="1" x14ac:dyDescent="0.3">
      <c r="B301" s="21"/>
      <c r="C301" s="19"/>
      <c r="D301" s="20"/>
    </row>
    <row r="302" spans="2:4" ht="30" customHeight="1" x14ac:dyDescent="0.3">
      <c r="B302" s="22" t="s">
        <v>1225</v>
      </c>
      <c r="C302" s="19" t="s">
        <v>1226</v>
      </c>
      <c r="D302" s="20" t="s">
        <v>14</v>
      </c>
    </row>
    <row r="303" spans="2:4" ht="4.2" customHeight="1" x14ac:dyDescent="0.3">
      <c r="B303" s="21"/>
      <c r="C303" s="19"/>
      <c r="D303" s="20"/>
    </row>
    <row r="304" spans="2:4" ht="32.4" customHeight="1" x14ac:dyDescent="0.3">
      <c r="B304" s="22" t="s">
        <v>1227</v>
      </c>
      <c r="C304" s="19" t="s">
        <v>1228</v>
      </c>
      <c r="D304" s="20" t="s">
        <v>1229</v>
      </c>
    </row>
    <row r="305" spans="2:4" ht="4.2" customHeight="1" x14ac:dyDescent="0.3">
      <c r="B305" s="21"/>
      <c r="C305" s="19"/>
      <c r="D305" s="20"/>
    </row>
    <row r="306" spans="2:4" ht="31.8" customHeight="1" x14ac:dyDescent="0.3">
      <c r="B306" s="22" t="s">
        <v>1019</v>
      </c>
      <c r="C306" s="19" t="s">
        <v>1230</v>
      </c>
      <c r="D306" s="20" t="s">
        <v>14</v>
      </c>
    </row>
    <row r="307" spans="2:4" ht="13.8" x14ac:dyDescent="0.3">
      <c r="B307" s="78" t="s">
        <v>1231</v>
      </c>
      <c r="C307" s="205"/>
      <c r="D307" s="206"/>
    </row>
    <row r="308" spans="2:4" ht="4.2" customHeight="1" x14ac:dyDescent="0.3">
      <c r="B308" s="21"/>
      <c r="C308" s="19"/>
      <c r="D308" s="20"/>
    </row>
    <row r="309" spans="2:4" ht="111.6" customHeight="1" x14ac:dyDescent="0.3">
      <c r="B309" s="22" t="s">
        <v>966</v>
      </c>
      <c r="C309" s="19" t="s">
        <v>1233</v>
      </c>
      <c r="D309" s="20" t="s">
        <v>14</v>
      </c>
    </row>
    <row r="310" spans="2:4" ht="4.2" customHeight="1" x14ac:dyDescent="0.3">
      <c r="B310" s="21"/>
      <c r="C310" s="19"/>
      <c r="D310" s="20"/>
    </row>
    <row r="311" spans="2:4" ht="31.8" customHeight="1" x14ac:dyDescent="0.3">
      <c r="B311" s="22" t="s">
        <v>1152</v>
      </c>
      <c r="C311" s="19" t="s">
        <v>1232</v>
      </c>
      <c r="D311" s="20" t="s">
        <v>14</v>
      </c>
    </row>
    <row r="312" spans="2:4" ht="4.2" customHeight="1" x14ac:dyDescent="0.3">
      <c r="B312" s="21"/>
      <c r="C312" s="19"/>
      <c r="D312" s="20"/>
    </row>
    <row r="313" spans="2:4" ht="33" customHeight="1" x14ac:dyDescent="0.3">
      <c r="B313" s="22" t="s">
        <v>1235</v>
      </c>
      <c r="C313" s="19" t="s">
        <v>1234</v>
      </c>
      <c r="D313" s="20" t="s">
        <v>14</v>
      </c>
    </row>
    <row r="314" spans="2:4" ht="4.2" customHeight="1" x14ac:dyDescent="0.3">
      <c r="B314" s="21"/>
      <c r="C314" s="19"/>
      <c r="D314" s="20"/>
    </row>
    <row r="315" spans="2:4" ht="71.400000000000006" customHeight="1" x14ac:dyDescent="0.3">
      <c r="B315" s="22" t="s">
        <v>991</v>
      </c>
      <c r="C315" s="19" t="s">
        <v>1236</v>
      </c>
      <c r="D315" s="20" t="s">
        <v>14</v>
      </c>
    </row>
    <row r="316" spans="2:4" ht="4.2" customHeight="1" x14ac:dyDescent="0.3">
      <c r="B316" s="21"/>
      <c r="C316" s="19"/>
      <c r="D316" s="20"/>
    </row>
    <row r="317" spans="2:4" ht="13.8" x14ac:dyDescent="0.3">
      <c r="C317" s="16"/>
      <c r="D317" s="16"/>
    </row>
    <row r="318" spans="2:4" ht="13.8" x14ac:dyDescent="0.3">
      <c r="B318" s="27" t="s">
        <v>16</v>
      </c>
      <c r="C318" s="17" t="s">
        <v>17</v>
      </c>
      <c r="D318" s="28"/>
    </row>
    <row r="319" spans="2:4" ht="13.8" x14ac:dyDescent="0.3">
      <c r="B319" s="16" t="s">
        <v>1238</v>
      </c>
      <c r="C319" s="207" t="s">
        <v>1239</v>
      </c>
      <c r="D319" s="28"/>
    </row>
    <row r="320" spans="2:4" ht="13.8" x14ac:dyDescent="0.3">
      <c r="B320" s="16" t="s">
        <v>1240</v>
      </c>
      <c r="C320" s="207" t="s">
        <v>1239</v>
      </c>
      <c r="D320" s="28"/>
    </row>
    <row r="321" spans="2:4" ht="13.8" x14ac:dyDescent="0.3">
      <c r="B321" s="16" t="s">
        <v>1241</v>
      </c>
      <c r="C321" s="207" t="s">
        <v>1239</v>
      </c>
      <c r="D321" s="28"/>
    </row>
    <row r="322" spans="2:4" ht="13.8" x14ac:dyDescent="0.3">
      <c r="B322" s="16" t="s">
        <v>1242</v>
      </c>
      <c r="C322" s="207" t="s">
        <v>1239</v>
      </c>
      <c r="D322" s="28"/>
    </row>
    <row r="323" spans="2:4" ht="13.8" x14ac:dyDescent="0.3">
      <c r="B323" s="16" t="s">
        <v>1243</v>
      </c>
      <c r="C323" s="207" t="s">
        <v>1239</v>
      </c>
      <c r="D323" s="28"/>
    </row>
    <row r="324" spans="2:4" ht="13.8" x14ac:dyDescent="0.3">
      <c r="B324" s="16" t="s">
        <v>1244</v>
      </c>
      <c r="C324" s="207" t="s">
        <v>1239</v>
      </c>
      <c r="D324" s="28"/>
    </row>
    <row r="325" spans="2:4" ht="13.8" x14ac:dyDescent="0.3">
      <c r="B325" s="16" t="s">
        <v>1245</v>
      </c>
      <c r="C325" s="207" t="s">
        <v>1239</v>
      </c>
      <c r="D325" s="28"/>
    </row>
    <row r="326" spans="2:4" ht="13.8" x14ac:dyDescent="0.3">
      <c r="B326" s="16" t="s">
        <v>1246</v>
      </c>
      <c r="C326" s="207" t="s">
        <v>1239</v>
      </c>
      <c r="D326" s="28"/>
    </row>
    <row r="327" spans="2:4" ht="13.8" x14ac:dyDescent="0.3">
      <c r="B327" s="27"/>
      <c r="C327" s="207"/>
      <c r="D327" s="28"/>
    </row>
    <row r="328" spans="2:4" ht="13.8" x14ac:dyDescent="0.3">
      <c r="C328" s="207"/>
      <c r="D328" s="29"/>
    </row>
    <row r="329" spans="2:4" ht="13.8" x14ac:dyDescent="0.3">
      <c r="D329" s="29"/>
    </row>
    <row r="330" spans="2:4" ht="16.8" x14ac:dyDescent="0.3">
      <c r="B330" s="30" t="s">
        <v>962</v>
      </c>
      <c r="D330" s="29"/>
    </row>
    <row r="331" spans="2:4" ht="13.8" x14ac:dyDescent="0.3">
      <c r="B331" s="18"/>
      <c r="D331" s="29"/>
    </row>
    <row r="332" spans="2:4" ht="13.8" x14ac:dyDescent="0.3">
      <c r="B332" s="18" t="s">
        <v>961</v>
      </c>
      <c r="D332" s="29"/>
    </row>
    <row r="333" spans="2:4" ht="13.8" x14ac:dyDescent="0.3">
      <c r="B333" s="18" t="s">
        <v>21</v>
      </c>
      <c r="D333" s="29"/>
    </row>
    <row r="334" spans="2:4" ht="13.8" x14ac:dyDescent="0.3">
      <c r="B334" s="18"/>
      <c r="D334" s="29"/>
    </row>
    <row r="335" spans="2:4" ht="13.8" x14ac:dyDescent="0.3">
      <c r="B335" s="18"/>
      <c r="D335" s="29"/>
    </row>
    <row r="336" spans="2:4" ht="13.8" x14ac:dyDescent="0.3">
      <c r="B336" s="18"/>
      <c r="D336" s="29"/>
    </row>
    <row r="337" spans="2:4" ht="13.8" x14ac:dyDescent="0.3">
      <c r="B337" s="18"/>
      <c r="D337" s="29"/>
    </row>
    <row r="338" spans="2:4" ht="15.6" x14ac:dyDescent="0.3">
      <c r="B338" s="30"/>
      <c r="D338" s="29"/>
    </row>
    <row r="339" spans="2:4" ht="13.8" x14ac:dyDescent="0.3">
      <c r="B339" s="18"/>
      <c r="D339" s="29"/>
    </row>
    <row r="340" spans="2:4" ht="13.8" x14ac:dyDescent="0.3">
      <c r="B340" s="18"/>
      <c r="D340" s="29"/>
    </row>
    <row r="341" spans="2:4" ht="13.8" x14ac:dyDescent="0.3">
      <c r="B341" s="18"/>
      <c r="D341" s="29"/>
    </row>
    <row r="342" spans="2:4" ht="13.8" x14ac:dyDescent="0.3">
      <c r="D342" s="29"/>
    </row>
    <row r="343" spans="2:4" ht="13.8" x14ac:dyDescent="0.3">
      <c r="D343" s="29"/>
    </row>
    <row r="344" spans="2:4" ht="13.8" x14ac:dyDescent="0.3">
      <c r="D344" s="29"/>
    </row>
    <row r="345" spans="2:4" ht="13.8" x14ac:dyDescent="0.3">
      <c r="D345" s="29"/>
    </row>
    <row r="346" spans="2:4" ht="13.8" x14ac:dyDescent="0.3">
      <c r="D346" s="29"/>
    </row>
    <row r="359" spans="1:5" s="14" customFormat="1" x14ac:dyDescent="0.3">
      <c r="A359" s="16"/>
      <c r="B359" s="16"/>
      <c r="D359" s="15"/>
      <c r="E359" s="16"/>
    </row>
    <row r="360" spans="1:5" s="14" customFormat="1" x14ac:dyDescent="0.3">
      <c r="A360" s="16"/>
      <c r="B360" s="16"/>
      <c r="D360" s="15"/>
      <c r="E360" s="16"/>
    </row>
    <row r="361" spans="1:5" s="14" customFormat="1" x14ac:dyDescent="0.3">
      <c r="A361" s="16"/>
      <c r="B361" s="16"/>
      <c r="D361" s="15"/>
      <c r="E361" s="16"/>
    </row>
  </sheetData>
  <conditionalFormatting sqref="D63">
    <cfRule type="duplicateValues" dxfId="3" priority="1"/>
  </conditionalFormatting>
  <conditionalFormatting sqref="D64">
    <cfRule type="duplicateValues" dxfId="2" priority="11"/>
  </conditionalFormatting>
  <conditionalFormatting sqref="D65">
    <cfRule type="duplicateValues" dxfId="1" priority="9"/>
  </conditionalFormatting>
  <conditionalFormatting sqref="D67">
    <cfRule type="duplicateValues" dxfId="0" priority="4"/>
  </conditionalFormatting>
  <pageMargins left="0.7" right="0.7" top="0.75" bottom="0.75" header="0.3" footer="0.3"/>
  <pageSetup paperSize="9" scale="48" fitToHeight="0"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pageSetUpPr fitToPage="1"/>
  </sheetPr>
  <dimension ref="A1:FT32"/>
  <sheetViews>
    <sheetView topLeftCell="A6" zoomScale="90" zoomScaleNormal="90" workbookViewId="0">
      <selection activeCell="B19" sqref="B19"/>
    </sheetView>
  </sheetViews>
  <sheetFormatPr defaultColWidth="9.109375" defaultRowHeight="14.4" x14ac:dyDescent="0.3"/>
  <cols>
    <col min="1" max="1" width="14.6640625" style="4" customWidth="1"/>
    <col min="2" max="2" width="59.6640625" style="4" customWidth="1"/>
    <col min="3" max="3" width="23.109375" style="10" bestFit="1" customWidth="1"/>
    <col min="4" max="29" width="10.6640625" style="7" customWidth="1"/>
    <col min="30" max="176" width="9.109375" style="7"/>
  </cols>
  <sheetData>
    <row r="1" spans="1:176" s="5" customFormat="1" ht="17.399999999999999" x14ac:dyDescent="0.3">
      <c r="A1" s="2" t="s">
        <v>22</v>
      </c>
      <c r="B1" s="2"/>
      <c r="C1" s="9"/>
    </row>
    <row r="2" spans="1:176" s="5" customFormat="1" ht="17.399999999999999" x14ac:dyDescent="0.3">
      <c r="A2" s="2" t="s">
        <v>758</v>
      </c>
      <c r="B2" s="2"/>
      <c r="C2" s="9"/>
    </row>
    <row r="3" spans="1:176" s="5" customFormat="1" ht="17.399999999999999" x14ac:dyDescent="0.3">
      <c r="A3" s="2" t="s">
        <v>24</v>
      </c>
      <c r="B3" s="2"/>
      <c r="C3" s="9"/>
    </row>
    <row r="4" spans="1:176" s="5" customFormat="1" ht="17.399999999999999" x14ac:dyDescent="0.3">
      <c r="A4" s="36">
        <v>1908091</v>
      </c>
      <c r="B4" s="2"/>
      <c r="C4" s="9"/>
    </row>
    <row r="5" spans="1:176" s="5" customFormat="1" ht="18" thickBot="1" x14ac:dyDescent="0.35">
      <c r="A5" s="2"/>
      <c r="B5" s="2"/>
      <c r="C5" s="9"/>
    </row>
    <row r="6" spans="1:176" s="5" customFormat="1" ht="17.399999999999999" x14ac:dyDescent="0.3">
      <c r="A6" s="208" t="s">
        <v>4</v>
      </c>
      <c r="B6" s="209" t="s">
        <v>8</v>
      </c>
      <c r="C6" s="210" t="s">
        <v>6</v>
      </c>
    </row>
    <row r="7" spans="1:176" s="1" customFormat="1" x14ac:dyDescent="0.3">
      <c r="A7" s="171">
        <f>Details!A6</f>
        <v>12</v>
      </c>
      <c r="B7" s="6" t="str">
        <f>Details!B6</f>
        <v>Precast/Composite Concrete</v>
      </c>
      <c r="C7" s="172">
        <f>Details!F15</f>
        <v>95170.007372543987</v>
      </c>
      <c r="D7" s="8"/>
      <c r="E7" s="8"/>
      <c r="F7" s="34"/>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row>
    <row r="8" spans="1:176" s="1" customFormat="1" x14ac:dyDescent="0.3">
      <c r="A8" s="173" t="str">
        <f>Details!A17</f>
        <v>13</v>
      </c>
      <c r="B8" s="6" t="str">
        <f>Details!B17</f>
        <v>Precast Concrete</v>
      </c>
      <c r="C8" s="172">
        <f>Details!F33</f>
        <v>64241.297827200004</v>
      </c>
      <c r="D8" s="8"/>
      <c r="E8" s="8"/>
      <c r="F8" s="34"/>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row>
    <row r="9" spans="1:176" s="1" customFormat="1" x14ac:dyDescent="0.3">
      <c r="A9" s="173" t="str">
        <f>Details!A35</f>
        <v>14</v>
      </c>
      <c r="B9" s="6" t="str">
        <f>Details!B35</f>
        <v>Masonry</v>
      </c>
      <c r="C9" s="172">
        <f>Details!F101</f>
        <v>286162.22501137445</v>
      </c>
      <c r="D9" s="8"/>
      <c r="E9" s="8"/>
      <c r="F9" s="34"/>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c r="FK9" s="8"/>
      <c r="FL9" s="8"/>
      <c r="FM9" s="8"/>
      <c r="FN9" s="8"/>
      <c r="FO9" s="8"/>
      <c r="FP9" s="8"/>
      <c r="FQ9" s="8"/>
      <c r="FR9" s="8"/>
      <c r="FS9" s="8"/>
      <c r="FT9" s="8"/>
    </row>
    <row r="10" spans="1:176" s="1" customFormat="1" x14ac:dyDescent="0.3">
      <c r="A10" s="173" t="str">
        <f>Details!A103</f>
        <v xml:space="preserve">15 </v>
      </c>
      <c r="B10" s="6" t="str">
        <f>Details!B103</f>
        <v>Structural Metalwork</v>
      </c>
      <c r="C10" s="172">
        <f>Details!F141</f>
        <v>602151.8523258135</v>
      </c>
      <c r="D10" s="8"/>
      <c r="E10" s="8"/>
      <c r="F10" s="34"/>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8"/>
      <c r="FH10" s="8"/>
      <c r="FI10" s="8"/>
      <c r="FJ10" s="8"/>
      <c r="FK10" s="8"/>
      <c r="FL10" s="8"/>
      <c r="FM10" s="8"/>
      <c r="FN10" s="8"/>
      <c r="FO10" s="8"/>
      <c r="FP10" s="8"/>
      <c r="FQ10" s="8"/>
      <c r="FR10" s="8"/>
      <c r="FS10" s="8"/>
      <c r="FT10" s="8"/>
    </row>
    <row r="11" spans="1:176" s="1" customFormat="1" x14ac:dyDescent="0.3">
      <c r="A11" s="173" t="str">
        <f>Details!A143</f>
        <v>16</v>
      </c>
      <c r="B11" s="6" t="str">
        <f>Details!B143</f>
        <v>Carpentry</v>
      </c>
      <c r="C11" s="172">
        <f>Details!F153</f>
        <v>22637.663081279996</v>
      </c>
      <c r="D11" s="8"/>
      <c r="E11" s="8"/>
      <c r="F11" s="34"/>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c r="FD11" s="8"/>
      <c r="FE11" s="8"/>
      <c r="FF11" s="8"/>
      <c r="FG11" s="8"/>
      <c r="FH11" s="8"/>
      <c r="FI11" s="8"/>
      <c r="FJ11" s="8"/>
      <c r="FK11" s="8"/>
      <c r="FL11" s="8"/>
      <c r="FM11" s="8"/>
      <c r="FN11" s="8"/>
      <c r="FO11" s="8"/>
      <c r="FP11" s="8"/>
      <c r="FQ11" s="8"/>
      <c r="FR11" s="8"/>
      <c r="FS11" s="8"/>
      <c r="FT11" s="8"/>
    </row>
    <row r="12" spans="1:176" s="1" customFormat="1" x14ac:dyDescent="0.3">
      <c r="A12" s="173" t="str">
        <f>Details!A155</f>
        <v>17</v>
      </c>
      <c r="B12" s="6" t="str">
        <f>Details!B155</f>
        <v>Sheet Roof Coverings</v>
      </c>
      <c r="C12" s="172">
        <f>Details!F194</f>
        <v>280364.77441851841</v>
      </c>
      <c r="D12" s="8"/>
      <c r="E12" s="8"/>
      <c r="F12" s="34"/>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c r="FB12" s="8"/>
      <c r="FC12" s="8"/>
      <c r="FD12" s="8"/>
      <c r="FE12" s="8"/>
      <c r="FF12" s="8"/>
      <c r="FG12" s="8"/>
      <c r="FH12" s="8"/>
      <c r="FI12" s="8"/>
      <c r="FJ12" s="8"/>
      <c r="FK12" s="8"/>
      <c r="FL12" s="8"/>
      <c r="FM12" s="8"/>
      <c r="FN12" s="8"/>
      <c r="FO12" s="8"/>
      <c r="FP12" s="8"/>
      <c r="FQ12" s="8"/>
      <c r="FR12" s="8"/>
      <c r="FS12" s="8"/>
      <c r="FT12" s="8"/>
    </row>
    <row r="13" spans="1:176" s="1" customFormat="1" x14ac:dyDescent="0.3">
      <c r="A13" s="171">
        <f>Details!A196</f>
        <v>19</v>
      </c>
      <c r="B13" s="6" t="str">
        <f>Details!B196</f>
        <v>Waterproofing</v>
      </c>
      <c r="C13" s="172">
        <f>Details!F205</f>
        <v>30943.893183839999</v>
      </c>
      <c r="D13" s="8"/>
      <c r="E13" s="8"/>
      <c r="F13" s="34"/>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c r="FJ13" s="8"/>
      <c r="FK13" s="8"/>
      <c r="FL13" s="8"/>
      <c r="FM13" s="8"/>
      <c r="FN13" s="8"/>
      <c r="FO13" s="8"/>
      <c r="FP13" s="8"/>
      <c r="FQ13" s="8"/>
      <c r="FR13" s="8"/>
      <c r="FS13" s="8"/>
      <c r="FT13" s="8"/>
    </row>
    <row r="14" spans="1:176" s="1" customFormat="1" x14ac:dyDescent="0.3">
      <c r="A14" s="171">
        <f>Details!A207</f>
        <v>20</v>
      </c>
      <c r="B14" s="6" t="str">
        <f>Details!B207</f>
        <v>Proprietary Linings and Partitions</v>
      </c>
      <c r="C14" s="172">
        <f>Details!F231</f>
        <v>59377.468201084797</v>
      </c>
      <c r="D14" s="8"/>
      <c r="E14" s="8"/>
      <c r="F14" s="34"/>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c r="CR14" s="8"/>
      <c r="CS14" s="8"/>
      <c r="CT14" s="8"/>
      <c r="CU14" s="8"/>
      <c r="CV14" s="8"/>
      <c r="CW14" s="8"/>
      <c r="CX14" s="8"/>
      <c r="CY14" s="8"/>
      <c r="CZ14" s="8"/>
      <c r="DA14" s="8"/>
      <c r="DB14" s="8"/>
      <c r="DC14" s="8"/>
      <c r="DD14" s="8"/>
      <c r="DE14" s="8"/>
      <c r="DF14" s="8"/>
      <c r="DG14" s="8"/>
      <c r="DH14" s="8"/>
      <c r="DI14" s="8"/>
      <c r="DJ14" s="8"/>
      <c r="DK14" s="8"/>
      <c r="DL14" s="8"/>
      <c r="DM14" s="8"/>
      <c r="DN14" s="8"/>
      <c r="DO14" s="8"/>
      <c r="DP14" s="8"/>
      <c r="DQ14" s="8"/>
      <c r="DR14" s="8"/>
      <c r="DS14" s="8"/>
      <c r="DT14" s="8"/>
      <c r="DU14" s="8"/>
      <c r="DV14" s="8"/>
      <c r="DW14" s="8"/>
      <c r="DX14" s="8"/>
      <c r="DY14" s="8"/>
      <c r="DZ14" s="8"/>
      <c r="EA14" s="8"/>
      <c r="EB14" s="8"/>
      <c r="EC14" s="8"/>
      <c r="ED14" s="8"/>
      <c r="EE14" s="8"/>
      <c r="EF14" s="8"/>
      <c r="EG14" s="8"/>
      <c r="EH14" s="8"/>
      <c r="EI14" s="8"/>
      <c r="EJ14" s="8"/>
      <c r="EK14" s="8"/>
      <c r="EL14" s="8"/>
      <c r="EM14" s="8"/>
      <c r="EN14" s="8"/>
      <c r="EO14" s="8"/>
      <c r="EP14" s="8"/>
      <c r="EQ14" s="8"/>
      <c r="ER14" s="8"/>
      <c r="ES14" s="8"/>
      <c r="ET14" s="8"/>
      <c r="EU14" s="8"/>
      <c r="EV14" s="8"/>
      <c r="EW14" s="8"/>
      <c r="EX14" s="8"/>
      <c r="EY14" s="8"/>
      <c r="EZ14" s="8"/>
      <c r="FA14" s="8"/>
      <c r="FB14" s="8"/>
      <c r="FC14" s="8"/>
      <c r="FD14" s="8"/>
      <c r="FE14" s="8"/>
      <c r="FF14" s="8"/>
      <c r="FG14" s="8"/>
      <c r="FH14" s="8"/>
      <c r="FI14" s="8"/>
      <c r="FJ14" s="8"/>
      <c r="FK14" s="8"/>
      <c r="FL14" s="8"/>
      <c r="FM14" s="8"/>
      <c r="FN14" s="8"/>
      <c r="FO14" s="8"/>
      <c r="FP14" s="8"/>
      <c r="FQ14" s="8"/>
      <c r="FR14" s="8"/>
      <c r="FS14" s="8"/>
      <c r="FT14" s="8"/>
    </row>
    <row r="15" spans="1:176" s="1" customFormat="1" x14ac:dyDescent="0.3">
      <c r="A15" s="171">
        <f>Details!A233</f>
        <v>21</v>
      </c>
      <c r="B15" s="6" t="str">
        <f>Details!B233</f>
        <v>Cladding and Covering</v>
      </c>
      <c r="C15" s="172">
        <f>Details!F245</f>
        <v>1089802.4512415037</v>
      </c>
      <c r="D15" s="8"/>
      <c r="E15" s="8"/>
      <c r="F15" s="34"/>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8"/>
      <c r="DJ15" s="8"/>
      <c r="DK15" s="8"/>
      <c r="DL15" s="8"/>
      <c r="DM15" s="8"/>
      <c r="DN15" s="8"/>
      <c r="DO15" s="8"/>
      <c r="DP15" s="8"/>
      <c r="DQ15" s="8"/>
      <c r="DR15" s="8"/>
      <c r="DS15" s="8"/>
      <c r="DT15" s="8"/>
      <c r="DU15" s="8"/>
      <c r="DV15" s="8"/>
      <c r="DW15" s="8"/>
      <c r="DX15" s="8"/>
      <c r="DY15" s="8"/>
      <c r="DZ15" s="8"/>
      <c r="EA15" s="8"/>
      <c r="EB15" s="8"/>
      <c r="EC15" s="8"/>
      <c r="ED15" s="8"/>
      <c r="EE15" s="8"/>
      <c r="EF15" s="8"/>
      <c r="EG15" s="8"/>
      <c r="EH15" s="8"/>
      <c r="EI15" s="8"/>
      <c r="EJ15" s="8"/>
      <c r="EK15" s="8"/>
      <c r="EL15" s="8"/>
      <c r="EM15" s="8"/>
      <c r="EN15" s="8"/>
      <c r="EO15" s="8"/>
      <c r="EP15" s="8"/>
      <c r="EQ15" s="8"/>
      <c r="ER15" s="8"/>
      <c r="ES15" s="8"/>
      <c r="ET15" s="8"/>
      <c r="EU15" s="8"/>
      <c r="EV15" s="8"/>
      <c r="EW15" s="8"/>
      <c r="EX15" s="8"/>
      <c r="EY15" s="8"/>
      <c r="EZ15" s="8"/>
      <c r="FA15" s="8"/>
      <c r="FB15" s="8"/>
      <c r="FC15" s="8"/>
      <c r="FD15" s="8"/>
      <c r="FE15" s="8"/>
      <c r="FF15" s="8"/>
      <c r="FG15" s="8"/>
      <c r="FH15" s="8"/>
      <c r="FI15" s="8"/>
      <c r="FJ15" s="8"/>
      <c r="FK15" s="8"/>
      <c r="FL15" s="8"/>
      <c r="FM15" s="8"/>
      <c r="FN15" s="8"/>
      <c r="FO15" s="8"/>
      <c r="FP15" s="8"/>
      <c r="FQ15" s="8"/>
      <c r="FR15" s="8"/>
      <c r="FS15" s="8"/>
      <c r="FT15" s="8"/>
    </row>
    <row r="16" spans="1:176" s="1" customFormat="1" x14ac:dyDescent="0.3">
      <c r="A16" s="171">
        <f>Details!A247</f>
        <v>22</v>
      </c>
      <c r="B16" s="6" t="str">
        <f>Details!B247</f>
        <v>General Joinery</v>
      </c>
      <c r="C16" s="172">
        <f>Details!F268</f>
        <v>25234.961506559994</v>
      </c>
      <c r="D16" s="8"/>
      <c r="E16" s="8"/>
      <c r="F16" s="34"/>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BT16" s="8"/>
      <c r="BU16" s="8"/>
      <c r="BV16" s="8"/>
      <c r="BW16" s="8"/>
      <c r="BX16" s="8"/>
      <c r="BY16" s="8"/>
      <c r="BZ16" s="8"/>
      <c r="CA16" s="8"/>
      <c r="CB16" s="8"/>
      <c r="CC16" s="8"/>
      <c r="CD16" s="8"/>
      <c r="CE16" s="8"/>
      <c r="CF16" s="8"/>
      <c r="CG16" s="8"/>
      <c r="CH16" s="8"/>
      <c r="CI16" s="8"/>
      <c r="CJ16" s="8"/>
      <c r="CK16" s="8"/>
      <c r="CL16" s="8"/>
      <c r="CM16" s="8"/>
      <c r="CN16" s="8"/>
      <c r="CO16" s="8"/>
      <c r="CP16" s="8"/>
      <c r="CQ16" s="8"/>
      <c r="CR16" s="8"/>
      <c r="CS16" s="8"/>
      <c r="CT16" s="8"/>
      <c r="CU16" s="8"/>
      <c r="CV16" s="8"/>
      <c r="CW16" s="8"/>
      <c r="CX16" s="8"/>
      <c r="CY16" s="8"/>
      <c r="CZ16" s="8"/>
      <c r="DA16" s="8"/>
      <c r="DB16" s="8"/>
      <c r="DC16" s="8"/>
      <c r="DD16" s="8"/>
      <c r="DE16" s="8"/>
      <c r="DF16" s="8"/>
      <c r="DG16" s="8"/>
      <c r="DH16" s="8"/>
      <c r="DI16" s="8"/>
      <c r="DJ16" s="8"/>
      <c r="DK16" s="8"/>
      <c r="DL16" s="8"/>
      <c r="DM16" s="8"/>
      <c r="DN16" s="8"/>
      <c r="DO16" s="8"/>
      <c r="DP16" s="8"/>
      <c r="DQ16" s="8"/>
      <c r="DR16" s="8"/>
      <c r="DS16" s="8"/>
      <c r="DT16" s="8"/>
      <c r="DU16" s="8"/>
      <c r="DV16" s="8"/>
      <c r="DW16" s="8"/>
      <c r="DX16" s="8"/>
      <c r="DY16" s="8"/>
      <c r="DZ16" s="8"/>
      <c r="EA16" s="8"/>
      <c r="EB16" s="8"/>
      <c r="EC16" s="8"/>
      <c r="ED16" s="8"/>
      <c r="EE16" s="8"/>
      <c r="EF16" s="8"/>
      <c r="EG16" s="8"/>
      <c r="EH16" s="8"/>
      <c r="EI16" s="8"/>
      <c r="EJ16" s="8"/>
      <c r="EK16" s="8"/>
      <c r="EL16" s="8"/>
      <c r="EM16" s="8"/>
      <c r="EN16" s="8"/>
      <c r="EO16" s="8"/>
      <c r="EP16" s="8"/>
      <c r="EQ16" s="8"/>
      <c r="ER16" s="8"/>
      <c r="ES16" s="8"/>
      <c r="ET16" s="8"/>
      <c r="EU16" s="8"/>
      <c r="EV16" s="8"/>
      <c r="EW16" s="8"/>
      <c r="EX16" s="8"/>
      <c r="EY16" s="8"/>
      <c r="EZ16" s="8"/>
      <c r="FA16" s="8"/>
      <c r="FB16" s="8"/>
      <c r="FC16" s="8"/>
      <c r="FD16" s="8"/>
      <c r="FE16" s="8"/>
      <c r="FF16" s="8"/>
      <c r="FG16" s="8"/>
      <c r="FH16" s="8"/>
      <c r="FI16" s="8"/>
      <c r="FJ16" s="8"/>
      <c r="FK16" s="8"/>
      <c r="FL16" s="8"/>
      <c r="FM16" s="8"/>
      <c r="FN16" s="8"/>
      <c r="FO16" s="8"/>
      <c r="FP16" s="8"/>
      <c r="FQ16" s="8"/>
      <c r="FR16" s="8"/>
      <c r="FS16" s="8"/>
      <c r="FT16" s="8"/>
    </row>
    <row r="17" spans="1:176" s="1" customFormat="1" x14ac:dyDescent="0.3">
      <c r="A17" s="171">
        <f>Details!A270</f>
        <v>23</v>
      </c>
      <c r="B17" s="6" t="str">
        <f>Details!B270</f>
        <v>Windows, Screens and Lights</v>
      </c>
      <c r="C17" s="172">
        <f>Details!F279</f>
        <v>81803.118196800002</v>
      </c>
      <c r="D17" s="8"/>
      <c r="E17" s="8"/>
      <c r="F17" s="34"/>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8"/>
      <c r="BB17" s="8"/>
      <c r="BC17" s="8"/>
      <c r="BD17" s="8"/>
      <c r="BE17" s="8"/>
      <c r="BF17" s="8"/>
      <c r="BG17" s="8"/>
      <c r="BH17" s="8"/>
      <c r="BI17" s="8"/>
      <c r="BJ17" s="8"/>
      <c r="BK17" s="8"/>
      <c r="BL17" s="8"/>
      <c r="BM17" s="8"/>
      <c r="BN17" s="8"/>
      <c r="BO17" s="8"/>
      <c r="BP17" s="8"/>
      <c r="BQ17" s="8"/>
      <c r="BR17" s="8"/>
      <c r="BS17" s="8"/>
      <c r="BT17" s="8"/>
      <c r="BU17" s="8"/>
      <c r="BV17" s="8"/>
      <c r="BW17" s="8"/>
      <c r="BX17" s="8"/>
      <c r="BY17" s="8"/>
      <c r="BZ17" s="8"/>
      <c r="CA17" s="8"/>
      <c r="CB17" s="8"/>
      <c r="CC17" s="8"/>
      <c r="CD17" s="8"/>
      <c r="CE17" s="8"/>
      <c r="CF17" s="8"/>
      <c r="CG17" s="8"/>
      <c r="CH17" s="8"/>
      <c r="CI17" s="8"/>
      <c r="CJ17" s="8"/>
      <c r="CK17" s="8"/>
      <c r="CL17" s="8"/>
      <c r="CM17" s="8"/>
      <c r="CN17" s="8"/>
      <c r="CO17" s="8"/>
      <c r="CP17" s="8"/>
      <c r="CQ17" s="8"/>
      <c r="CR17" s="8"/>
      <c r="CS17" s="8"/>
      <c r="CT17" s="8"/>
      <c r="CU17" s="8"/>
      <c r="CV17" s="8"/>
      <c r="CW17" s="8"/>
      <c r="CX17" s="8"/>
      <c r="CY17" s="8"/>
      <c r="CZ17" s="8"/>
      <c r="DA17" s="8"/>
      <c r="DB17" s="8"/>
      <c r="DC17" s="8"/>
      <c r="DD17" s="8"/>
      <c r="DE17" s="8"/>
      <c r="DF17" s="8"/>
      <c r="DG17" s="8"/>
      <c r="DH17" s="8"/>
      <c r="DI17" s="8"/>
      <c r="DJ17" s="8"/>
      <c r="DK17" s="8"/>
      <c r="DL17" s="8"/>
      <c r="DM17" s="8"/>
      <c r="DN17" s="8"/>
      <c r="DO17" s="8"/>
      <c r="DP17" s="8"/>
      <c r="DQ17" s="8"/>
      <c r="DR17" s="8"/>
      <c r="DS17" s="8"/>
      <c r="DT17" s="8"/>
      <c r="DU17" s="8"/>
      <c r="DV17" s="8"/>
      <c r="DW17" s="8"/>
      <c r="DX17" s="8"/>
      <c r="DY17" s="8"/>
      <c r="DZ17" s="8"/>
      <c r="EA17" s="8"/>
      <c r="EB17" s="8"/>
      <c r="EC17" s="8"/>
      <c r="ED17" s="8"/>
      <c r="EE17" s="8"/>
      <c r="EF17" s="8"/>
      <c r="EG17" s="8"/>
      <c r="EH17" s="8"/>
      <c r="EI17" s="8"/>
      <c r="EJ17" s="8"/>
      <c r="EK17" s="8"/>
      <c r="EL17" s="8"/>
      <c r="EM17" s="8"/>
      <c r="EN17" s="8"/>
      <c r="EO17" s="8"/>
      <c r="EP17" s="8"/>
      <c r="EQ17" s="8"/>
      <c r="ER17" s="8"/>
      <c r="ES17" s="8"/>
      <c r="ET17" s="8"/>
      <c r="EU17" s="8"/>
      <c r="EV17" s="8"/>
      <c r="EW17" s="8"/>
      <c r="EX17" s="8"/>
      <c r="EY17" s="8"/>
      <c r="EZ17" s="8"/>
      <c r="FA17" s="8"/>
      <c r="FB17" s="8"/>
      <c r="FC17" s="8"/>
      <c r="FD17" s="8"/>
      <c r="FE17" s="8"/>
      <c r="FF17" s="8"/>
      <c r="FG17" s="8"/>
      <c r="FH17" s="8"/>
      <c r="FI17" s="8"/>
      <c r="FJ17" s="8"/>
      <c r="FK17" s="8"/>
      <c r="FL17" s="8"/>
      <c r="FM17" s="8"/>
      <c r="FN17" s="8"/>
      <c r="FO17" s="8"/>
      <c r="FP17" s="8"/>
      <c r="FQ17" s="8"/>
      <c r="FR17" s="8"/>
      <c r="FS17" s="8"/>
      <c r="FT17" s="8"/>
    </row>
    <row r="18" spans="1:176" s="1" customFormat="1" x14ac:dyDescent="0.3">
      <c r="A18" s="171">
        <f>Details!A281</f>
        <v>24</v>
      </c>
      <c r="B18" s="6" t="str">
        <f>Details!B281</f>
        <v>Doors, Shutters and Hatches</v>
      </c>
      <c r="C18" s="172">
        <f>Details!F386</f>
        <v>117937.485387072</v>
      </c>
      <c r="D18" s="8"/>
      <c r="E18" s="8"/>
      <c r="F18" s="34"/>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c r="CH18" s="8"/>
      <c r="CI18" s="8"/>
      <c r="CJ18" s="8"/>
      <c r="CK18" s="8"/>
      <c r="CL18" s="8"/>
      <c r="CM18" s="8"/>
      <c r="CN18" s="8"/>
      <c r="CO18" s="8"/>
      <c r="CP18" s="8"/>
      <c r="CQ18" s="8"/>
      <c r="CR18" s="8"/>
      <c r="CS18" s="8"/>
      <c r="CT18" s="8"/>
      <c r="CU18" s="8"/>
      <c r="CV18" s="8"/>
      <c r="CW18" s="8"/>
      <c r="CX18" s="8"/>
      <c r="CY18" s="8"/>
      <c r="CZ18" s="8"/>
      <c r="DA18" s="8"/>
      <c r="DB18" s="8"/>
      <c r="DC18" s="8"/>
      <c r="DD18" s="8"/>
      <c r="DE18" s="8"/>
      <c r="DF18" s="8"/>
      <c r="DG18" s="8"/>
      <c r="DH18" s="8"/>
      <c r="DI18" s="8"/>
      <c r="DJ18" s="8"/>
      <c r="DK18" s="8"/>
      <c r="DL18" s="8"/>
      <c r="DM18" s="8"/>
      <c r="DN18" s="8"/>
      <c r="DO18" s="8"/>
      <c r="DP18" s="8"/>
      <c r="DQ18" s="8"/>
      <c r="DR18" s="8"/>
      <c r="DS18" s="8"/>
      <c r="DT18" s="8"/>
      <c r="DU18" s="8"/>
      <c r="DV18" s="8"/>
      <c r="DW18" s="8"/>
      <c r="DX18" s="8"/>
      <c r="DY18" s="8"/>
      <c r="DZ18" s="8"/>
      <c r="EA18" s="8"/>
      <c r="EB18" s="8"/>
      <c r="EC18" s="8"/>
      <c r="ED18" s="8"/>
      <c r="EE18" s="8"/>
      <c r="EF18" s="8"/>
      <c r="EG18" s="8"/>
      <c r="EH18" s="8"/>
      <c r="EI18" s="8"/>
      <c r="EJ18" s="8"/>
      <c r="EK18" s="8"/>
      <c r="EL18" s="8"/>
      <c r="EM18" s="8"/>
      <c r="EN18" s="8"/>
      <c r="EO18" s="8"/>
      <c r="EP18" s="8"/>
      <c r="EQ18" s="8"/>
      <c r="ER18" s="8"/>
      <c r="ES18" s="8"/>
      <c r="ET18" s="8"/>
      <c r="EU18" s="8"/>
      <c r="EV18" s="8"/>
      <c r="EW18" s="8"/>
      <c r="EX18" s="8"/>
      <c r="EY18" s="8"/>
      <c r="EZ18" s="8"/>
      <c r="FA18" s="8"/>
      <c r="FB18" s="8"/>
      <c r="FC18" s="8"/>
      <c r="FD18" s="8"/>
      <c r="FE18" s="8"/>
      <c r="FF18" s="8"/>
      <c r="FG18" s="8"/>
      <c r="FH18" s="8"/>
      <c r="FI18" s="8"/>
      <c r="FJ18" s="8"/>
      <c r="FK18" s="8"/>
      <c r="FL18" s="8"/>
      <c r="FM18" s="8"/>
      <c r="FN18" s="8"/>
      <c r="FO18" s="8"/>
      <c r="FP18" s="8"/>
      <c r="FQ18" s="8"/>
      <c r="FR18" s="8"/>
      <c r="FS18" s="8"/>
      <c r="FT18" s="8"/>
    </row>
    <row r="19" spans="1:176" s="1" customFormat="1" x14ac:dyDescent="0.3">
      <c r="A19" s="171">
        <f>Details!A388</f>
        <v>25</v>
      </c>
      <c r="B19" s="6" t="str">
        <f>Details!B388</f>
        <v>Stairs, Walkways and Balustrades</v>
      </c>
      <c r="C19" s="172">
        <f>Details!F401</f>
        <v>34012.132813151999</v>
      </c>
      <c r="D19" s="8"/>
      <c r="E19" s="8"/>
      <c r="F19" s="34"/>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c r="CC19" s="8"/>
      <c r="CD19" s="8"/>
      <c r="CE19" s="8"/>
      <c r="CF19" s="8"/>
      <c r="CG19" s="8"/>
      <c r="CH19" s="8"/>
      <c r="CI19" s="8"/>
      <c r="CJ19" s="8"/>
      <c r="CK19" s="8"/>
      <c r="CL19" s="8"/>
      <c r="CM19" s="8"/>
      <c r="CN19" s="8"/>
      <c r="CO19" s="8"/>
      <c r="CP19" s="8"/>
      <c r="CQ19" s="8"/>
      <c r="CR19" s="8"/>
      <c r="CS19" s="8"/>
      <c r="CT19" s="8"/>
      <c r="CU19" s="8"/>
      <c r="CV19" s="8"/>
      <c r="CW19" s="8"/>
      <c r="CX19" s="8"/>
      <c r="CY19" s="8"/>
      <c r="CZ19" s="8"/>
      <c r="DA19" s="8"/>
      <c r="DB19" s="8"/>
      <c r="DC19" s="8"/>
      <c r="DD19" s="8"/>
      <c r="DE19" s="8"/>
      <c r="DF19" s="8"/>
      <c r="DG19" s="8"/>
      <c r="DH19" s="8"/>
      <c r="DI19" s="8"/>
      <c r="DJ19" s="8"/>
      <c r="DK19" s="8"/>
      <c r="DL19" s="8"/>
      <c r="DM19" s="8"/>
      <c r="DN19" s="8"/>
      <c r="DO19" s="8"/>
      <c r="DP19" s="8"/>
      <c r="DQ19" s="8"/>
      <c r="DR19" s="8"/>
      <c r="DS19" s="8"/>
      <c r="DT19" s="8"/>
      <c r="DU19" s="8"/>
      <c r="DV19" s="8"/>
      <c r="DW19" s="8"/>
      <c r="DX19" s="8"/>
      <c r="DY19" s="8"/>
      <c r="DZ19" s="8"/>
      <c r="EA19" s="8"/>
      <c r="EB19" s="8"/>
      <c r="EC19" s="8"/>
      <c r="ED19" s="8"/>
      <c r="EE19" s="8"/>
      <c r="EF19" s="8"/>
      <c r="EG19" s="8"/>
      <c r="EH19" s="8"/>
      <c r="EI19" s="8"/>
      <c r="EJ19" s="8"/>
      <c r="EK19" s="8"/>
      <c r="EL19" s="8"/>
      <c r="EM19" s="8"/>
      <c r="EN19" s="8"/>
      <c r="EO19" s="8"/>
      <c r="EP19" s="8"/>
      <c r="EQ19" s="8"/>
      <c r="ER19" s="8"/>
      <c r="ES19" s="8"/>
      <c r="ET19" s="8"/>
      <c r="EU19" s="8"/>
      <c r="EV19" s="8"/>
      <c r="EW19" s="8"/>
      <c r="EX19" s="8"/>
      <c r="EY19" s="8"/>
      <c r="EZ19" s="8"/>
      <c r="FA19" s="8"/>
      <c r="FB19" s="8"/>
      <c r="FC19" s="8"/>
      <c r="FD19" s="8"/>
      <c r="FE19" s="8"/>
      <c r="FF19" s="8"/>
      <c r="FG19" s="8"/>
      <c r="FH19" s="8"/>
      <c r="FI19" s="8"/>
      <c r="FJ19" s="8"/>
      <c r="FK19" s="8"/>
      <c r="FL19" s="8"/>
      <c r="FM19" s="8"/>
      <c r="FN19" s="8"/>
      <c r="FO19" s="8"/>
      <c r="FP19" s="8"/>
      <c r="FQ19" s="8"/>
      <c r="FR19" s="8"/>
      <c r="FS19" s="8"/>
      <c r="FT19" s="8"/>
    </row>
    <row r="20" spans="1:176" s="1" customFormat="1" x14ac:dyDescent="0.3">
      <c r="A20" s="171">
        <f>Details!A403</f>
        <v>27</v>
      </c>
      <c r="B20" s="6" t="str">
        <f>Details!B403</f>
        <v>Glazing</v>
      </c>
      <c r="C20" s="172">
        <f>Details!F413</f>
        <v>744.41090880000002</v>
      </c>
      <c r="D20" s="8"/>
      <c r="E20" s="8"/>
      <c r="F20" s="34"/>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c r="CR20" s="8"/>
      <c r="CS20" s="8"/>
      <c r="CT20" s="8"/>
      <c r="CU20" s="8"/>
      <c r="CV20" s="8"/>
      <c r="CW20" s="8"/>
      <c r="CX20" s="8"/>
      <c r="CY20" s="8"/>
      <c r="CZ20" s="8"/>
      <c r="DA20" s="8"/>
      <c r="DB20" s="8"/>
      <c r="DC20" s="8"/>
      <c r="DD20" s="8"/>
      <c r="DE20" s="8"/>
      <c r="DF20" s="8"/>
      <c r="DG20" s="8"/>
      <c r="DH20" s="8"/>
      <c r="DI20" s="8"/>
      <c r="DJ20" s="8"/>
      <c r="DK20" s="8"/>
      <c r="DL20" s="8"/>
      <c r="DM20" s="8"/>
      <c r="DN20" s="8"/>
      <c r="DO20" s="8"/>
      <c r="DP20" s="8"/>
      <c r="DQ20" s="8"/>
      <c r="DR20" s="8"/>
      <c r="DS20" s="8"/>
      <c r="DT20" s="8"/>
      <c r="DU20" s="8"/>
      <c r="DV20" s="8"/>
      <c r="DW20" s="8"/>
      <c r="DX20" s="8"/>
      <c r="DY20" s="8"/>
      <c r="DZ20" s="8"/>
      <c r="EA20" s="8"/>
      <c r="EB20" s="8"/>
      <c r="EC20" s="8"/>
      <c r="ED20" s="8"/>
      <c r="EE20" s="8"/>
      <c r="EF20" s="8"/>
      <c r="EG20" s="8"/>
      <c r="EH20" s="8"/>
      <c r="EI20" s="8"/>
      <c r="EJ20" s="8"/>
      <c r="EK20" s="8"/>
      <c r="EL20" s="8"/>
      <c r="EM20" s="8"/>
      <c r="EN20" s="8"/>
      <c r="EO20" s="8"/>
      <c r="EP20" s="8"/>
      <c r="EQ20" s="8"/>
      <c r="ER20" s="8"/>
      <c r="ES20" s="8"/>
      <c r="ET20" s="8"/>
      <c r="EU20" s="8"/>
      <c r="EV20" s="8"/>
      <c r="EW20" s="8"/>
      <c r="EX20" s="8"/>
      <c r="EY20" s="8"/>
      <c r="EZ20" s="8"/>
      <c r="FA20" s="8"/>
      <c r="FB20" s="8"/>
      <c r="FC20" s="8"/>
      <c r="FD20" s="8"/>
      <c r="FE20" s="8"/>
      <c r="FF20" s="8"/>
      <c r="FG20" s="8"/>
      <c r="FH20" s="8"/>
      <c r="FI20" s="8"/>
      <c r="FJ20" s="8"/>
      <c r="FK20" s="8"/>
      <c r="FL20" s="8"/>
      <c r="FM20" s="8"/>
      <c r="FN20" s="8"/>
      <c r="FO20" s="8"/>
      <c r="FP20" s="8"/>
      <c r="FQ20" s="8"/>
      <c r="FR20" s="8"/>
      <c r="FS20" s="8"/>
      <c r="FT20" s="8"/>
    </row>
    <row r="21" spans="1:176" s="1" customFormat="1" x14ac:dyDescent="0.3">
      <c r="A21" s="171">
        <f>Details!A415</f>
        <v>28</v>
      </c>
      <c r="B21" s="6" t="str">
        <f>Details!B415</f>
        <v>Floor, Wall, Ceiling and Roof Finishes</v>
      </c>
      <c r="C21" s="172">
        <f>Details!F460</f>
        <v>276934.70040724799</v>
      </c>
      <c r="D21" s="8"/>
      <c r="E21" s="8"/>
      <c r="F21" s="34"/>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8"/>
      <c r="CA21" s="8"/>
      <c r="CB21" s="8"/>
      <c r="CC21" s="8"/>
      <c r="CD21" s="8"/>
      <c r="CE21" s="8"/>
      <c r="CF21" s="8"/>
      <c r="CG21" s="8"/>
      <c r="CH21" s="8"/>
      <c r="CI21" s="8"/>
      <c r="CJ21" s="8"/>
      <c r="CK21" s="8"/>
      <c r="CL21" s="8"/>
      <c r="CM21" s="8"/>
      <c r="CN21" s="8"/>
      <c r="CO21" s="8"/>
      <c r="CP21" s="8"/>
      <c r="CQ21" s="8"/>
      <c r="CR21" s="8"/>
      <c r="CS21" s="8"/>
      <c r="CT21" s="8"/>
      <c r="CU21" s="8"/>
      <c r="CV21" s="8"/>
      <c r="CW21" s="8"/>
      <c r="CX21" s="8"/>
      <c r="CY21" s="8"/>
      <c r="CZ21" s="8"/>
      <c r="DA21" s="8"/>
      <c r="DB21" s="8"/>
      <c r="DC21" s="8"/>
      <c r="DD21" s="8"/>
      <c r="DE21" s="8"/>
      <c r="DF21" s="8"/>
      <c r="DG21" s="8"/>
      <c r="DH21" s="8"/>
      <c r="DI21" s="8"/>
      <c r="DJ21" s="8"/>
      <c r="DK21" s="8"/>
      <c r="DL21" s="8"/>
      <c r="DM21" s="8"/>
      <c r="DN21" s="8"/>
      <c r="DO21" s="8"/>
      <c r="DP21" s="8"/>
      <c r="DQ21" s="8"/>
      <c r="DR21" s="8"/>
      <c r="DS21" s="8"/>
      <c r="DT21" s="8"/>
      <c r="DU21" s="8"/>
      <c r="DV21" s="8"/>
      <c r="DW21" s="8"/>
      <c r="DX21" s="8"/>
      <c r="DY21" s="8"/>
      <c r="DZ21" s="8"/>
      <c r="EA21" s="8"/>
      <c r="EB21" s="8"/>
      <c r="EC21" s="8"/>
      <c r="ED21" s="8"/>
      <c r="EE21" s="8"/>
      <c r="EF21" s="8"/>
      <c r="EG21" s="8"/>
      <c r="EH21" s="8"/>
      <c r="EI21" s="8"/>
      <c r="EJ21" s="8"/>
      <c r="EK21" s="8"/>
      <c r="EL21" s="8"/>
      <c r="EM21" s="8"/>
      <c r="EN21" s="8"/>
      <c r="EO21" s="8"/>
      <c r="EP21" s="8"/>
      <c r="EQ21" s="8"/>
      <c r="ER21" s="8"/>
      <c r="ES21" s="8"/>
      <c r="ET21" s="8"/>
      <c r="EU21" s="8"/>
      <c r="EV21" s="8"/>
      <c r="EW21" s="8"/>
      <c r="EX21" s="8"/>
      <c r="EY21" s="8"/>
      <c r="EZ21" s="8"/>
      <c r="FA21" s="8"/>
      <c r="FB21" s="8"/>
      <c r="FC21" s="8"/>
      <c r="FD21" s="8"/>
      <c r="FE21" s="8"/>
      <c r="FF21" s="8"/>
      <c r="FG21" s="8"/>
      <c r="FH21" s="8"/>
      <c r="FI21" s="8"/>
      <c r="FJ21" s="8"/>
      <c r="FK21" s="8"/>
      <c r="FL21" s="8"/>
      <c r="FM21" s="8"/>
      <c r="FN21" s="8"/>
      <c r="FO21" s="8"/>
      <c r="FP21" s="8"/>
      <c r="FQ21" s="8"/>
      <c r="FR21" s="8"/>
      <c r="FS21" s="8"/>
      <c r="FT21" s="8"/>
    </row>
    <row r="22" spans="1:176" s="1" customFormat="1" x14ac:dyDescent="0.3">
      <c r="A22" s="171">
        <f>Details!A462</f>
        <v>29</v>
      </c>
      <c r="B22" s="6" t="str">
        <f>Details!B462</f>
        <v>Decoration</v>
      </c>
      <c r="C22" s="172">
        <f>Details!F479</f>
        <v>34574.303836799998</v>
      </c>
      <c r="D22" s="8"/>
      <c r="E22" s="8"/>
      <c r="F22" s="34"/>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c r="BY22" s="8"/>
      <c r="BZ22" s="8"/>
      <c r="CA22" s="8"/>
      <c r="CB22" s="8"/>
      <c r="CC22" s="8"/>
      <c r="CD22" s="8"/>
      <c r="CE22" s="8"/>
      <c r="CF22" s="8"/>
      <c r="CG22" s="8"/>
      <c r="CH22" s="8"/>
      <c r="CI22" s="8"/>
      <c r="CJ22" s="8"/>
      <c r="CK22" s="8"/>
      <c r="CL22" s="8"/>
      <c r="CM22" s="8"/>
      <c r="CN22" s="8"/>
      <c r="CO22" s="8"/>
      <c r="CP22" s="8"/>
      <c r="CQ22" s="8"/>
      <c r="CR22" s="8"/>
      <c r="CS22" s="8"/>
      <c r="CT22" s="8"/>
      <c r="CU22" s="8"/>
      <c r="CV22" s="8"/>
      <c r="CW22" s="8"/>
      <c r="CX22" s="8"/>
      <c r="CY22" s="8"/>
      <c r="CZ22" s="8"/>
      <c r="DA22" s="8"/>
      <c r="DB22" s="8"/>
      <c r="DC22" s="8"/>
      <c r="DD22" s="8"/>
      <c r="DE22" s="8"/>
      <c r="DF22" s="8"/>
      <c r="DG22" s="8"/>
      <c r="DH22" s="8"/>
      <c r="DI22" s="8"/>
      <c r="DJ22" s="8"/>
      <c r="DK22" s="8"/>
      <c r="DL22" s="8"/>
      <c r="DM22" s="8"/>
      <c r="DN22" s="8"/>
      <c r="DO22" s="8"/>
      <c r="DP22" s="8"/>
      <c r="DQ22" s="8"/>
      <c r="DR22" s="8"/>
      <c r="DS22" s="8"/>
      <c r="DT22" s="8"/>
      <c r="DU22" s="8"/>
      <c r="DV22" s="8"/>
      <c r="DW22" s="8"/>
      <c r="DX22" s="8"/>
      <c r="DY22" s="8"/>
      <c r="DZ22" s="8"/>
      <c r="EA22" s="8"/>
      <c r="EB22" s="8"/>
      <c r="EC22" s="8"/>
      <c r="ED22" s="8"/>
      <c r="EE22" s="8"/>
      <c r="EF22" s="8"/>
      <c r="EG22" s="8"/>
      <c r="EH22" s="8"/>
      <c r="EI22" s="8"/>
      <c r="EJ22" s="8"/>
      <c r="EK22" s="8"/>
      <c r="EL22" s="8"/>
      <c r="EM22" s="8"/>
      <c r="EN22" s="8"/>
      <c r="EO22" s="8"/>
      <c r="EP22" s="8"/>
      <c r="EQ22" s="8"/>
      <c r="ER22" s="8"/>
      <c r="ES22" s="8"/>
      <c r="ET22" s="8"/>
      <c r="EU22" s="8"/>
      <c r="EV22" s="8"/>
      <c r="EW22" s="8"/>
      <c r="EX22" s="8"/>
      <c r="EY22" s="8"/>
      <c r="EZ22" s="8"/>
      <c r="FA22" s="8"/>
      <c r="FB22" s="8"/>
      <c r="FC22" s="8"/>
      <c r="FD22" s="8"/>
      <c r="FE22" s="8"/>
      <c r="FF22" s="8"/>
      <c r="FG22" s="8"/>
      <c r="FH22" s="8"/>
      <c r="FI22" s="8"/>
      <c r="FJ22" s="8"/>
      <c r="FK22" s="8"/>
      <c r="FL22" s="8"/>
      <c r="FM22" s="8"/>
      <c r="FN22" s="8"/>
      <c r="FO22" s="8"/>
      <c r="FP22" s="8"/>
      <c r="FQ22" s="8"/>
      <c r="FR22" s="8"/>
      <c r="FS22" s="8"/>
      <c r="FT22" s="8"/>
    </row>
    <row r="23" spans="1:176" s="1" customFormat="1" x14ac:dyDescent="0.3">
      <c r="A23" s="171">
        <f>Details!A481</f>
        <v>30</v>
      </c>
      <c r="B23" s="6" t="str">
        <f>Details!B481</f>
        <v>Suspended Ceilings</v>
      </c>
      <c r="C23" s="172">
        <f>Details!F500</f>
        <v>62844.052766976005</v>
      </c>
      <c r="D23" s="8"/>
      <c r="E23" s="8"/>
      <c r="F23" s="34"/>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c r="BY23" s="8"/>
      <c r="BZ23" s="8"/>
      <c r="CA23" s="8"/>
      <c r="CB23" s="8"/>
      <c r="CC23" s="8"/>
      <c r="CD23" s="8"/>
      <c r="CE23" s="8"/>
      <c r="CF23" s="8"/>
      <c r="CG23" s="8"/>
      <c r="CH23" s="8"/>
      <c r="CI23" s="8"/>
      <c r="CJ23" s="8"/>
      <c r="CK23" s="8"/>
      <c r="CL23" s="8"/>
      <c r="CM23" s="8"/>
      <c r="CN23" s="8"/>
      <c r="CO23" s="8"/>
      <c r="CP23" s="8"/>
      <c r="CQ23" s="8"/>
      <c r="CR23" s="8"/>
      <c r="CS23" s="8"/>
      <c r="CT23" s="8"/>
      <c r="CU23" s="8"/>
      <c r="CV23" s="8"/>
      <c r="CW23" s="8"/>
      <c r="CX23" s="8"/>
      <c r="CY23" s="8"/>
      <c r="CZ23" s="8"/>
      <c r="DA23" s="8"/>
      <c r="DB23" s="8"/>
      <c r="DC23" s="8"/>
      <c r="DD23" s="8"/>
      <c r="DE23" s="8"/>
      <c r="DF23" s="8"/>
      <c r="DG23" s="8"/>
      <c r="DH23" s="8"/>
      <c r="DI23" s="8"/>
      <c r="DJ23" s="8"/>
      <c r="DK23" s="8"/>
      <c r="DL23" s="8"/>
      <c r="DM23" s="8"/>
      <c r="DN23" s="8"/>
      <c r="DO23" s="8"/>
      <c r="DP23" s="8"/>
      <c r="DQ23" s="8"/>
      <c r="DR23" s="8"/>
      <c r="DS23" s="8"/>
      <c r="DT23" s="8"/>
      <c r="DU23" s="8"/>
      <c r="DV23" s="8"/>
      <c r="DW23" s="8"/>
      <c r="DX23" s="8"/>
      <c r="DY23" s="8"/>
      <c r="DZ23" s="8"/>
      <c r="EA23" s="8"/>
      <c r="EB23" s="8"/>
      <c r="EC23" s="8"/>
      <c r="ED23" s="8"/>
      <c r="EE23" s="8"/>
      <c r="EF23" s="8"/>
      <c r="EG23" s="8"/>
      <c r="EH23" s="8"/>
      <c r="EI23" s="8"/>
      <c r="EJ23" s="8"/>
      <c r="EK23" s="8"/>
      <c r="EL23" s="8"/>
      <c r="EM23" s="8"/>
      <c r="EN23" s="8"/>
      <c r="EO23" s="8"/>
      <c r="EP23" s="8"/>
      <c r="EQ23" s="8"/>
      <c r="ER23" s="8"/>
      <c r="ES23" s="8"/>
      <c r="ET23" s="8"/>
      <c r="EU23" s="8"/>
      <c r="EV23" s="8"/>
      <c r="EW23" s="8"/>
      <c r="EX23" s="8"/>
      <c r="EY23" s="8"/>
      <c r="EZ23" s="8"/>
      <c r="FA23" s="8"/>
      <c r="FB23" s="8"/>
      <c r="FC23" s="8"/>
      <c r="FD23" s="8"/>
      <c r="FE23" s="8"/>
      <c r="FF23" s="8"/>
      <c r="FG23" s="8"/>
      <c r="FH23" s="8"/>
      <c r="FI23" s="8"/>
      <c r="FJ23" s="8"/>
      <c r="FK23" s="8"/>
      <c r="FL23" s="8"/>
      <c r="FM23" s="8"/>
      <c r="FN23" s="8"/>
      <c r="FO23" s="8"/>
      <c r="FP23" s="8"/>
      <c r="FQ23" s="8"/>
      <c r="FR23" s="8"/>
      <c r="FS23" s="8"/>
      <c r="FT23" s="8"/>
    </row>
    <row r="24" spans="1:176" s="1" customFormat="1" x14ac:dyDescent="0.3">
      <c r="A24" s="171">
        <f>Details!A502</f>
        <v>31</v>
      </c>
      <c r="B24" s="6" t="str">
        <f>Details!B502</f>
        <v>Insulation, Fire Stopping and Fire Protection</v>
      </c>
      <c r="C24" s="172">
        <f>Details!F527</f>
        <v>56590.77123648001</v>
      </c>
      <c r="D24" s="8"/>
      <c r="E24" s="8"/>
      <c r="F24" s="34"/>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8"/>
      <c r="BQ24" s="8"/>
      <c r="BR24" s="8"/>
      <c r="BS24" s="8"/>
      <c r="BT24" s="8"/>
      <c r="BU24" s="8"/>
      <c r="BV24" s="8"/>
      <c r="BW24" s="8"/>
      <c r="BX24" s="8"/>
      <c r="BY24" s="8"/>
      <c r="BZ24" s="8"/>
      <c r="CA24" s="8"/>
      <c r="CB24" s="8"/>
      <c r="CC24" s="8"/>
      <c r="CD24" s="8"/>
      <c r="CE24" s="8"/>
      <c r="CF24" s="8"/>
      <c r="CG24" s="8"/>
      <c r="CH24" s="8"/>
      <c r="CI24" s="8"/>
      <c r="CJ24" s="8"/>
      <c r="CK24" s="8"/>
      <c r="CL24" s="8"/>
      <c r="CM24" s="8"/>
      <c r="CN24" s="8"/>
      <c r="CO24" s="8"/>
      <c r="CP24" s="8"/>
      <c r="CQ24" s="8"/>
      <c r="CR24" s="8"/>
      <c r="CS24" s="8"/>
      <c r="CT24" s="8"/>
      <c r="CU24" s="8"/>
      <c r="CV24" s="8"/>
      <c r="CW24" s="8"/>
      <c r="CX24" s="8"/>
      <c r="CY24" s="8"/>
      <c r="CZ24" s="8"/>
      <c r="DA24" s="8"/>
      <c r="DB24" s="8"/>
      <c r="DC24" s="8"/>
      <c r="DD24" s="8"/>
      <c r="DE24" s="8"/>
      <c r="DF24" s="8"/>
      <c r="DG24" s="8"/>
      <c r="DH24" s="8"/>
      <c r="DI24" s="8"/>
      <c r="DJ24" s="8"/>
      <c r="DK24" s="8"/>
      <c r="DL24" s="8"/>
      <c r="DM24" s="8"/>
      <c r="DN24" s="8"/>
      <c r="DO24" s="8"/>
      <c r="DP24" s="8"/>
      <c r="DQ24" s="8"/>
      <c r="DR24" s="8"/>
      <c r="DS24" s="8"/>
      <c r="DT24" s="8"/>
      <c r="DU24" s="8"/>
      <c r="DV24" s="8"/>
      <c r="DW24" s="8"/>
      <c r="DX24" s="8"/>
      <c r="DY24" s="8"/>
      <c r="DZ24" s="8"/>
      <c r="EA24" s="8"/>
      <c r="EB24" s="8"/>
      <c r="EC24" s="8"/>
      <c r="ED24" s="8"/>
      <c r="EE24" s="8"/>
      <c r="EF24" s="8"/>
      <c r="EG24" s="8"/>
      <c r="EH24" s="8"/>
      <c r="EI24" s="8"/>
      <c r="EJ24" s="8"/>
      <c r="EK24" s="8"/>
      <c r="EL24" s="8"/>
      <c r="EM24" s="8"/>
      <c r="EN24" s="8"/>
      <c r="EO24" s="8"/>
      <c r="EP24" s="8"/>
      <c r="EQ24" s="8"/>
      <c r="ER24" s="8"/>
      <c r="ES24" s="8"/>
      <c r="ET24" s="8"/>
      <c r="EU24" s="8"/>
      <c r="EV24" s="8"/>
      <c r="EW24" s="8"/>
      <c r="EX24" s="8"/>
      <c r="EY24" s="8"/>
      <c r="EZ24" s="8"/>
      <c r="FA24" s="8"/>
      <c r="FB24" s="8"/>
      <c r="FC24" s="8"/>
      <c r="FD24" s="8"/>
      <c r="FE24" s="8"/>
      <c r="FF24" s="8"/>
      <c r="FG24" s="8"/>
      <c r="FH24" s="8"/>
      <c r="FI24" s="8"/>
      <c r="FJ24" s="8"/>
      <c r="FK24" s="8"/>
      <c r="FL24" s="8"/>
      <c r="FM24" s="8"/>
      <c r="FN24" s="8"/>
      <c r="FO24" s="8"/>
      <c r="FP24" s="8"/>
      <c r="FQ24" s="8"/>
      <c r="FR24" s="8"/>
      <c r="FS24" s="8"/>
      <c r="FT24" s="8"/>
    </row>
    <row r="25" spans="1:176" s="1" customFormat="1" x14ac:dyDescent="0.3">
      <c r="A25" s="171">
        <f>Details!A529</f>
        <v>32</v>
      </c>
      <c r="B25" s="6" t="str">
        <f>Details!B529</f>
        <v>Furniture, Fittings and Equipment</v>
      </c>
      <c r="C25" s="172">
        <f>Details!F619</f>
        <v>236707.23791519998</v>
      </c>
      <c r="D25" s="8"/>
      <c r="E25" s="8"/>
      <c r="F25" s="34"/>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c r="BY25" s="8"/>
      <c r="BZ25" s="8"/>
      <c r="CA25" s="8"/>
      <c r="CB25" s="8"/>
      <c r="CC25" s="8"/>
      <c r="CD25" s="8"/>
      <c r="CE25" s="8"/>
      <c r="CF25" s="8"/>
      <c r="CG25" s="8"/>
      <c r="CH25" s="8"/>
      <c r="CI25" s="8"/>
      <c r="CJ25" s="8"/>
      <c r="CK25" s="8"/>
      <c r="CL25" s="8"/>
      <c r="CM25" s="8"/>
      <c r="CN25" s="8"/>
      <c r="CO25" s="8"/>
      <c r="CP25" s="8"/>
      <c r="CQ25" s="8"/>
      <c r="CR25" s="8"/>
      <c r="CS25" s="8"/>
      <c r="CT25" s="8"/>
      <c r="CU25" s="8"/>
      <c r="CV25" s="8"/>
      <c r="CW25" s="8"/>
      <c r="CX25" s="8"/>
      <c r="CY25" s="8"/>
      <c r="CZ25" s="8"/>
      <c r="DA25" s="8"/>
      <c r="DB25" s="8"/>
      <c r="DC25" s="8"/>
      <c r="DD25" s="8"/>
      <c r="DE25" s="8"/>
      <c r="DF25" s="8"/>
      <c r="DG25" s="8"/>
      <c r="DH25" s="8"/>
      <c r="DI25" s="8"/>
      <c r="DJ25" s="8"/>
      <c r="DK25" s="8"/>
      <c r="DL25" s="8"/>
      <c r="DM25" s="8"/>
      <c r="DN25" s="8"/>
      <c r="DO25" s="8"/>
      <c r="DP25" s="8"/>
      <c r="DQ25" s="8"/>
      <c r="DR25" s="8"/>
      <c r="DS25" s="8"/>
      <c r="DT25" s="8"/>
      <c r="DU25" s="8"/>
      <c r="DV25" s="8"/>
      <c r="DW25" s="8"/>
      <c r="DX25" s="8"/>
      <c r="DY25" s="8"/>
      <c r="DZ25" s="8"/>
      <c r="EA25" s="8"/>
      <c r="EB25" s="8"/>
      <c r="EC25" s="8"/>
      <c r="ED25" s="8"/>
      <c r="EE25" s="8"/>
      <c r="EF25" s="8"/>
      <c r="EG25" s="8"/>
      <c r="EH25" s="8"/>
      <c r="EI25" s="8"/>
      <c r="EJ25" s="8"/>
      <c r="EK25" s="8"/>
      <c r="EL25" s="8"/>
      <c r="EM25" s="8"/>
      <c r="EN25" s="8"/>
      <c r="EO25" s="8"/>
      <c r="EP25" s="8"/>
      <c r="EQ25" s="8"/>
      <c r="ER25" s="8"/>
      <c r="ES25" s="8"/>
      <c r="ET25" s="8"/>
      <c r="EU25" s="8"/>
      <c r="EV25" s="8"/>
      <c r="EW25" s="8"/>
      <c r="EX25" s="8"/>
      <c r="EY25" s="8"/>
      <c r="EZ25" s="8"/>
      <c r="FA25" s="8"/>
      <c r="FB25" s="8"/>
      <c r="FC25" s="8"/>
      <c r="FD25" s="8"/>
      <c r="FE25" s="8"/>
      <c r="FF25" s="8"/>
      <c r="FG25" s="8"/>
      <c r="FH25" s="8"/>
      <c r="FI25" s="8"/>
      <c r="FJ25" s="8"/>
      <c r="FK25" s="8"/>
      <c r="FL25" s="8"/>
      <c r="FM25" s="8"/>
      <c r="FN25" s="8"/>
      <c r="FO25" s="8"/>
      <c r="FP25" s="8"/>
      <c r="FQ25" s="8"/>
      <c r="FR25" s="8"/>
      <c r="FS25" s="8"/>
      <c r="FT25" s="8"/>
    </row>
    <row r="26" spans="1:176" s="1" customFormat="1" x14ac:dyDescent="0.3">
      <c r="A26" s="171">
        <f>Details!A621</f>
        <v>33</v>
      </c>
      <c r="B26" s="6" t="str">
        <f>Details!B621</f>
        <v>Drainage Above Ground</v>
      </c>
      <c r="C26" s="172">
        <f>Details!F673</f>
        <v>26426.531559168001</v>
      </c>
      <c r="D26" s="8"/>
      <c r="E26" s="8"/>
      <c r="F26" s="34"/>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c r="BN26" s="8"/>
      <c r="BO26" s="8"/>
      <c r="BP26" s="8"/>
      <c r="BQ26" s="8"/>
      <c r="BR26" s="8"/>
      <c r="BS26" s="8"/>
      <c r="BT26" s="8"/>
      <c r="BU26" s="8"/>
      <c r="BV26" s="8"/>
      <c r="BW26" s="8"/>
      <c r="BX26" s="8"/>
      <c r="BY26" s="8"/>
      <c r="BZ26" s="8"/>
      <c r="CA26" s="8"/>
      <c r="CB26" s="8"/>
      <c r="CC26" s="8"/>
      <c r="CD26" s="8"/>
      <c r="CE26" s="8"/>
      <c r="CF26" s="8"/>
      <c r="CG26" s="8"/>
      <c r="CH26" s="8"/>
      <c r="CI26" s="8"/>
      <c r="CJ26" s="8"/>
      <c r="CK26" s="8"/>
      <c r="CL26" s="8"/>
      <c r="CM26" s="8"/>
      <c r="CN26" s="8"/>
      <c r="CO26" s="8"/>
      <c r="CP26" s="8"/>
      <c r="CQ26" s="8"/>
      <c r="CR26" s="8"/>
      <c r="CS26" s="8"/>
      <c r="CT26" s="8"/>
      <c r="CU26" s="8"/>
      <c r="CV26" s="8"/>
      <c r="CW26" s="8"/>
      <c r="CX26" s="8"/>
      <c r="CY26" s="8"/>
      <c r="CZ26" s="8"/>
      <c r="DA26" s="8"/>
      <c r="DB26" s="8"/>
      <c r="DC26" s="8"/>
      <c r="DD26" s="8"/>
      <c r="DE26" s="8"/>
      <c r="DF26" s="8"/>
      <c r="DG26" s="8"/>
      <c r="DH26" s="8"/>
      <c r="DI26" s="8"/>
      <c r="DJ26" s="8"/>
      <c r="DK26" s="8"/>
      <c r="DL26" s="8"/>
      <c r="DM26" s="8"/>
      <c r="DN26" s="8"/>
      <c r="DO26" s="8"/>
      <c r="DP26" s="8"/>
      <c r="DQ26" s="8"/>
      <c r="DR26" s="8"/>
      <c r="DS26" s="8"/>
      <c r="DT26" s="8"/>
      <c r="DU26" s="8"/>
      <c r="DV26" s="8"/>
      <c r="DW26" s="8"/>
      <c r="DX26" s="8"/>
      <c r="DY26" s="8"/>
      <c r="DZ26" s="8"/>
      <c r="EA26" s="8"/>
      <c r="EB26" s="8"/>
      <c r="EC26" s="8"/>
      <c r="ED26" s="8"/>
      <c r="EE26" s="8"/>
      <c r="EF26" s="8"/>
      <c r="EG26" s="8"/>
      <c r="EH26" s="8"/>
      <c r="EI26" s="8"/>
      <c r="EJ26" s="8"/>
      <c r="EK26" s="8"/>
      <c r="EL26" s="8"/>
      <c r="EM26" s="8"/>
      <c r="EN26" s="8"/>
      <c r="EO26" s="8"/>
      <c r="EP26" s="8"/>
      <c r="EQ26" s="8"/>
      <c r="ER26" s="8"/>
      <c r="ES26" s="8"/>
      <c r="ET26" s="8"/>
      <c r="EU26" s="8"/>
      <c r="EV26" s="8"/>
      <c r="EW26" s="8"/>
      <c r="EX26" s="8"/>
      <c r="EY26" s="8"/>
      <c r="EZ26" s="8"/>
      <c r="FA26" s="8"/>
      <c r="FB26" s="8"/>
      <c r="FC26" s="8"/>
      <c r="FD26" s="8"/>
      <c r="FE26" s="8"/>
      <c r="FF26" s="8"/>
      <c r="FG26" s="8"/>
      <c r="FH26" s="8"/>
      <c r="FI26" s="8"/>
      <c r="FJ26" s="8"/>
      <c r="FK26" s="8"/>
      <c r="FL26" s="8"/>
      <c r="FM26" s="8"/>
      <c r="FN26" s="8"/>
      <c r="FO26" s="8"/>
      <c r="FP26" s="8"/>
      <c r="FQ26" s="8"/>
      <c r="FR26" s="8"/>
      <c r="FS26" s="8"/>
      <c r="FT26" s="8"/>
    </row>
    <row r="27" spans="1:176" s="1" customFormat="1" x14ac:dyDescent="0.3">
      <c r="A27" s="171">
        <f>Details!A675</f>
        <v>41</v>
      </c>
      <c r="B27" s="6" t="str">
        <f>Details!B675</f>
        <v>Builder's Work in Connection with Services</v>
      </c>
      <c r="C27" s="172">
        <f>Details!F697</f>
        <v>6452.7525504000005</v>
      </c>
      <c r="D27" s="8"/>
      <c r="E27" s="8"/>
      <c r="F27" s="34"/>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8"/>
      <c r="CA27" s="8"/>
      <c r="CB27" s="8"/>
      <c r="CC27" s="8"/>
      <c r="CD27" s="8"/>
      <c r="CE27" s="8"/>
      <c r="CF27" s="8"/>
      <c r="CG27" s="8"/>
      <c r="CH27" s="8"/>
      <c r="CI27" s="8"/>
      <c r="CJ27" s="8"/>
      <c r="CK27" s="8"/>
      <c r="CL27" s="8"/>
      <c r="CM27" s="8"/>
      <c r="CN27" s="8"/>
      <c r="CO27" s="8"/>
      <c r="CP27" s="8"/>
      <c r="CQ27" s="8"/>
      <c r="CR27" s="8"/>
      <c r="CS27" s="8"/>
      <c r="CT27" s="8"/>
      <c r="CU27" s="8"/>
      <c r="CV27" s="8"/>
      <c r="CW27" s="8"/>
      <c r="CX27" s="8"/>
      <c r="CY27" s="8"/>
      <c r="CZ27" s="8"/>
      <c r="DA27" s="8"/>
      <c r="DB27" s="8"/>
      <c r="DC27" s="8"/>
      <c r="DD27" s="8"/>
      <c r="DE27" s="8"/>
      <c r="DF27" s="8"/>
      <c r="DG27" s="8"/>
      <c r="DH27" s="8"/>
      <c r="DI27" s="8"/>
      <c r="DJ27" s="8"/>
      <c r="DK27" s="8"/>
      <c r="DL27" s="8"/>
      <c r="DM27" s="8"/>
      <c r="DN27" s="8"/>
      <c r="DO27" s="8"/>
      <c r="DP27" s="8"/>
      <c r="DQ27" s="8"/>
      <c r="DR27" s="8"/>
      <c r="DS27" s="8"/>
      <c r="DT27" s="8"/>
      <c r="DU27" s="8"/>
      <c r="DV27" s="8"/>
      <c r="DW27" s="8"/>
      <c r="DX27" s="8"/>
      <c r="DY27" s="8"/>
      <c r="DZ27" s="8"/>
      <c r="EA27" s="8"/>
      <c r="EB27" s="8"/>
      <c r="EC27" s="8"/>
      <c r="ED27" s="8"/>
      <c r="EE27" s="8"/>
      <c r="EF27" s="8"/>
      <c r="EG27" s="8"/>
      <c r="EH27" s="8"/>
      <c r="EI27" s="8"/>
      <c r="EJ27" s="8"/>
      <c r="EK27" s="8"/>
      <c r="EL27" s="8"/>
      <c r="EM27" s="8"/>
      <c r="EN27" s="8"/>
      <c r="EO27" s="8"/>
      <c r="EP27" s="8"/>
      <c r="EQ27" s="8"/>
      <c r="ER27" s="8"/>
      <c r="ES27" s="8"/>
      <c r="ET27" s="8"/>
      <c r="EU27" s="8"/>
      <c r="EV27" s="8"/>
      <c r="EW27" s="8"/>
      <c r="EX27" s="8"/>
      <c r="EY27" s="8"/>
      <c r="EZ27" s="8"/>
      <c r="FA27" s="8"/>
      <c r="FB27" s="8"/>
      <c r="FC27" s="8"/>
      <c r="FD27" s="8"/>
      <c r="FE27" s="8"/>
      <c r="FF27" s="8"/>
      <c r="FG27" s="8"/>
      <c r="FH27" s="8"/>
      <c r="FI27" s="8"/>
      <c r="FJ27" s="8"/>
      <c r="FK27" s="8"/>
      <c r="FL27" s="8"/>
      <c r="FM27" s="8"/>
      <c r="FN27" s="8"/>
      <c r="FO27" s="8"/>
      <c r="FP27" s="8"/>
      <c r="FQ27" s="8"/>
      <c r="FR27" s="8"/>
      <c r="FS27" s="8"/>
      <c r="FT27" s="8"/>
    </row>
    <row r="28" spans="1:176" s="1" customFormat="1" x14ac:dyDescent="0.3">
      <c r="A28" s="171">
        <v>42</v>
      </c>
      <c r="B28" s="6" t="str">
        <f>Details!B699</f>
        <v>Piped Supply Systems</v>
      </c>
      <c r="C28" s="172">
        <f>Details!F818</f>
        <v>65567.236665621356</v>
      </c>
      <c r="D28" s="8"/>
      <c r="E28" s="8"/>
      <c r="F28" s="34"/>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c r="BA28" s="8"/>
      <c r="BB28" s="8"/>
      <c r="BC28" s="8"/>
      <c r="BD28" s="8"/>
      <c r="BE28" s="8"/>
      <c r="BF28" s="8"/>
      <c r="BG28" s="8"/>
      <c r="BH28" s="8"/>
      <c r="BI28" s="8"/>
      <c r="BJ28" s="8"/>
      <c r="BK28" s="8"/>
      <c r="BL28" s="8"/>
      <c r="BM28" s="8"/>
      <c r="BN28" s="8"/>
      <c r="BO28" s="8"/>
      <c r="BP28" s="8"/>
      <c r="BQ28" s="8"/>
      <c r="BR28" s="8"/>
      <c r="BS28" s="8"/>
      <c r="BT28" s="8"/>
      <c r="BU28" s="8"/>
      <c r="BV28" s="8"/>
      <c r="BW28" s="8"/>
      <c r="BX28" s="8"/>
      <c r="BY28" s="8"/>
      <c r="BZ28" s="8"/>
      <c r="CA28" s="8"/>
      <c r="CB28" s="8"/>
      <c r="CC28" s="8"/>
      <c r="CD28" s="8"/>
      <c r="CE28" s="8"/>
      <c r="CF28" s="8"/>
      <c r="CG28" s="8"/>
      <c r="CH28" s="8"/>
      <c r="CI28" s="8"/>
      <c r="CJ28" s="8"/>
      <c r="CK28" s="8"/>
      <c r="CL28" s="8"/>
      <c r="CM28" s="8"/>
      <c r="CN28" s="8"/>
      <c r="CO28" s="8"/>
      <c r="CP28" s="8"/>
      <c r="CQ28" s="8"/>
      <c r="CR28" s="8"/>
      <c r="CS28" s="8"/>
      <c r="CT28" s="8"/>
      <c r="CU28" s="8"/>
      <c r="CV28" s="8"/>
      <c r="CW28" s="8"/>
      <c r="CX28" s="8"/>
      <c r="CY28" s="8"/>
      <c r="CZ28" s="8"/>
      <c r="DA28" s="8"/>
      <c r="DB28" s="8"/>
      <c r="DC28" s="8"/>
      <c r="DD28" s="8"/>
      <c r="DE28" s="8"/>
      <c r="DF28" s="8"/>
      <c r="DG28" s="8"/>
      <c r="DH28" s="8"/>
      <c r="DI28" s="8"/>
      <c r="DJ28" s="8"/>
      <c r="DK28" s="8"/>
      <c r="DL28" s="8"/>
      <c r="DM28" s="8"/>
      <c r="DN28" s="8"/>
      <c r="DO28" s="8"/>
      <c r="DP28" s="8"/>
      <c r="DQ28" s="8"/>
      <c r="DR28" s="8"/>
      <c r="DS28" s="8"/>
      <c r="DT28" s="8"/>
      <c r="DU28" s="8"/>
      <c r="DV28" s="8"/>
      <c r="DW28" s="8"/>
      <c r="DX28" s="8"/>
      <c r="DY28" s="8"/>
      <c r="DZ28" s="8"/>
      <c r="EA28" s="8"/>
      <c r="EB28" s="8"/>
      <c r="EC28" s="8"/>
      <c r="ED28" s="8"/>
      <c r="EE28" s="8"/>
      <c r="EF28" s="8"/>
      <c r="EG28" s="8"/>
      <c r="EH28" s="8"/>
      <c r="EI28" s="8"/>
      <c r="EJ28" s="8"/>
      <c r="EK28" s="8"/>
      <c r="EL28" s="8"/>
      <c r="EM28" s="8"/>
      <c r="EN28" s="8"/>
      <c r="EO28" s="8"/>
      <c r="EP28" s="8"/>
      <c r="EQ28" s="8"/>
      <c r="ER28" s="8"/>
      <c r="ES28" s="8"/>
      <c r="ET28" s="8"/>
      <c r="EU28" s="8"/>
      <c r="EV28" s="8"/>
      <c r="EW28" s="8"/>
      <c r="EX28" s="8"/>
      <c r="EY28" s="8"/>
      <c r="EZ28" s="8"/>
      <c r="FA28" s="8"/>
      <c r="FB28" s="8"/>
      <c r="FC28" s="8"/>
      <c r="FD28" s="8"/>
      <c r="FE28" s="8"/>
      <c r="FF28" s="8"/>
      <c r="FG28" s="8"/>
      <c r="FH28" s="8"/>
      <c r="FI28" s="8"/>
      <c r="FJ28" s="8"/>
      <c r="FK28" s="8"/>
      <c r="FL28" s="8"/>
      <c r="FM28" s="8"/>
      <c r="FN28" s="8"/>
      <c r="FO28" s="8"/>
      <c r="FP28" s="8"/>
      <c r="FQ28" s="8"/>
      <c r="FR28" s="8"/>
      <c r="FS28" s="8"/>
      <c r="FT28" s="8"/>
    </row>
    <row r="29" spans="1:176" s="1" customFormat="1" x14ac:dyDescent="0.3">
      <c r="A29" s="171">
        <v>43</v>
      </c>
      <c r="B29" s="6" t="str">
        <f>Details!B820</f>
        <v>Mechanical Sytems</v>
      </c>
      <c r="C29" s="172">
        <f>Details!F877</f>
        <v>430438.31944495207</v>
      </c>
      <c r="D29" s="8"/>
      <c r="E29" s="8"/>
      <c r="F29" s="34"/>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c r="CF29" s="8"/>
      <c r="CG29" s="8"/>
      <c r="CH29" s="8"/>
      <c r="CI29" s="8"/>
      <c r="CJ29" s="8"/>
      <c r="CK29" s="8"/>
      <c r="CL29" s="8"/>
      <c r="CM29" s="8"/>
      <c r="CN29" s="8"/>
      <c r="CO29" s="8"/>
      <c r="CP29" s="8"/>
      <c r="CQ29" s="8"/>
      <c r="CR29" s="8"/>
      <c r="CS29" s="8"/>
      <c r="CT29" s="8"/>
      <c r="CU29" s="8"/>
      <c r="CV29" s="8"/>
      <c r="CW29" s="8"/>
      <c r="CX29" s="8"/>
      <c r="CY29" s="8"/>
      <c r="CZ29" s="8"/>
      <c r="DA29" s="8"/>
      <c r="DB29" s="8"/>
      <c r="DC29" s="8"/>
      <c r="DD29" s="8"/>
      <c r="DE29" s="8"/>
      <c r="DF29" s="8"/>
      <c r="DG29" s="8"/>
      <c r="DH29" s="8"/>
      <c r="DI29" s="8"/>
      <c r="DJ29" s="8"/>
      <c r="DK29" s="8"/>
      <c r="DL29" s="8"/>
      <c r="DM29" s="8"/>
      <c r="DN29" s="8"/>
      <c r="DO29" s="8"/>
      <c r="DP29" s="8"/>
      <c r="DQ29" s="8"/>
      <c r="DR29" s="8"/>
      <c r="DS29" s="8"/>
      <c r="DT29" s="8"/>
      <c r="DU29" s="8"/>
      <c r="DV29" s="8"/>
      <c r="DW29" s="8"/>
      <c r="DX29" s="8"/>
      <c r="DY29" s="8"/>
      <c r="DZ29" s="8"/>
      <c r="EA29" s="8"/>
      <c r="EB29" s="8"/>
      <c r="EC29" s="8"/>
      <c r="ED29" s="8"/>
      <c r="EE29" s="8"/>
      <c r="EF29" s="8"/>
      <c r="EG29" s="8"/>
      <c r="EH29" s="8"/>
      <c r="EI29" s="8"/>
      <c r="EJ29" s="8"/>
      <c r="EK29" s="8"/>
      <c r="EL29" s="8"/>
      <c r="EM29" s="8"/>
      <c r="EN29" s="8"/>
      <c r="EO29" s="8"/>
      <c r="EP29" s="8"/>
      <c r="EQ29" s="8"/>
      <c r="ER29" s="8"/>
      <c r="ES29" s="8"/>
      <c r="ET29" s="8"/>
      <c r="EU29" s="8"/>
      <c r="EV29" s="8"/>
      <c r="EW29" s="8"/>
      <c r="EX29" s="8"/>
      <c r="EY29" s="8"/>
      <c r="EZ29" s="8"/>
      <c r="FA29" s="8"/>
      <c r="FB29" s="8"/>
      <c r="FC29" s="8"/>
      <c r="FD29" s="8"/>
      <c r="FE29" s="8"/>
      <c r="FF29" s="8"/>
      <c r="FG29" s="8"/>
      <c r="FH29" s="8"/>
      <c r="FI29" s="8"/>
      <c r="FJ29" s="8"/>
      <c r="FK29" s="8"/>
      <c r="FL29" s="8"/>
      <c r="FM29" s="8"/>
      <c r="FN29" s="8"/>
      <c r="FO29" s="8"/>
      <c r="FP29" s="8"/>
      <c r="FQ29" s="8"/>
      <c r="FR29" s="8"/>
      <c r="FS29" s="8"/>
      <c r="FT29" s="8"/>
    </row>
    <row r="30" spans="1:176" s="1" customFormat="1" x14ac:dyDescent="0.3">
      <c r="A30" s="171">
        <v>44</v>
      </c>
      <c r="B30" s="6" t="str">
        <f>Details!B879</f>
        <v>Electrical Supply/Power/Heating</v>
      </c>
      <c r="C30" s="172">
        <f>Details!F1033</f>
        <v>521647.06452393596</v>
      </c>
      <c r="D30" s="8"/>
      <c r="E30" s="8"/>
      <c r="F30" s="34"/>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8"/>
      <c r="CA30" s="8"/>
      <c r="CB30" s="8"/>
      <c r="CC30" s="8"/>
      <c r="CD30" s="8"/>
      <c r="CE30" s="8"/>
      <c r="CF30" s="8"/>
      <c r="CG30" s="8"/>
      <c r="CH30" s="8"/>
      <c r="CI30" s="8"/>
      <c r="CJ30" s="8"/>
      <c r="CK30" s="8"/>
      <c r="CL30" s="8"/>
      <c r="CM30" s="8"/>
      <c r="CN30" s="8"/>
      <c r="CO30" s="8"/>
      <c r="CP30" s="8"/>
      <c r="CQ30" s="8"/>
      <c r="CR30" s="8"/>
      <c r="CS30" s="8"/>
      <c r="CT30" s="8"/>
      <c r="CU30" s="8"/>
      <c r="CV30" s="8"/>
      <c r="CW30" s="8"/>
      <c r="CX30" s="8"/>
      <c r="CY30" s="8"/>
      <c r="CZ30" s="8"/>
      <c r="DA30" s="8"/>
      <c r="DB30" s="8"/>
      <c r="DC30" s="8"/>
      <c r="DD30" s="8"/>
      <c r="DE30" s="8"/>
      <c r="DF30" s="8"/>
      <c r="DG30" s="8"/>
      <c r="DH30" s="8"/>
      <c r="DI30" s="8"/>
      <c r="DJ30" s="8"/>
      <c r="DK30" s="8"/>
      <c r="DL30" s="8"/>
      <c r="DM30" s="8"/>
      <c r="DN30" s="8"/>
      <c r="DO30" s="8"/>
      <c r="DP30" s="8"/>
      <c r="DQ30" s="8"/>
      <c r="DR30" s="8"/>
      <c r="DS30" s="8"/>
      <c r="DT30" s="8"/>
      <c r="DU30" s="8"/>
      <c r="DV30" s="8"/>
      <c r="DW30" s="8"/>
      <c r="DX30" s="8"/>
      <c r="DY30" s="8"/>
      <c r="DZ30" s="8"/>
      <c r="EA30" s="8"/>
      <c r="EB30" s="8"/>
      <c r="EC30" s="8"/>
      <c r="ED30" s="8"/>
      <c r="EE30" s="8"/>
      <c r="EF30" s="8"/>
      <c r="EG30" s="8"/>
      <c r="EH30" s="8"/>
      <c r="EI30" s="8"/>
      <c r="EJ30" s="8"/>
      <c r="EK30" s="8"/>
      <c r="EL30" s="8"/>
      <c r="EM30" s="8"/>
      <c r="EN30" s="8"/>
      <c r="EO30" s="8"/>
      <c r="EP30" s="8"/>
      <c r="EQ30" s="8"/>
      <c r="ER30" s="8"/>
      <c r="ES30" s="8"/>
      <c r="ET30" s="8"/>
      <c r="EU30" s="8"/>
      <c r="EV30" s="8"/>
      <c r="EW30" s="8"/>
      <c r="EX30" s="8"/>
      <c r="EY30" s="8"/>
      <c r="EZ30" s="8"/>
      <c r="FA30" s="8"/>
      <c r="FB30" s="8"/>
      <c r="FC30" s="8"/>
      <c r="FD30" s="8"/>
      <c r="FE30" s="8"/>
      <c r="FF30" s="8"/>
      <c r="FG30" s="8"/>
      <c r="FH30" s="8"/>
      <c r="FI30" s="8"/>
      <c r="FJ30" s="8"/>
      <c r="FK30" s="8"/>
      <c r="FL30" s="8"/>
      <c r="FM30" s="8"/>
      <c r="FN30" s="8"/>
      <c r="FO30" s="8"/>
      <c r="FP30" s="8"/>
      <c r="FQ30" s="8"/>
      <c r="FR30" s="8"/>
      <c r="FS30" s="8"/>
      <c r="FT30" s="8"/>
    </row>
    <row r="31" spans="1:176" s="1" customFormat="1" ht="15" thickBot="1" x14ac:dyDescent="0.35">
      <c r="A31" s="171" t="s">
        <v>9</v>
      </c>
      <c r="B31" s="6"/>
      <c r="C31" s="172"/>
      <c r="D31" s="8"/>
      <c r="E31" s="8"/>
      <c r="F31" s="34"/>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8"/>
      <c r="CP31" s="8"/>
      <c r="CQ31" s="8"/>
      <c r="CR31" s="8"/>
      <c r="CS31" s="8"/>
      <c r="CT31" s="8"/>
      <c r="CU31" s="8"/>
      <c r="CV31" s="8"/>
      <c r="CW31" s="8"/>
      <c r="CX31" s="8"/>
      <c r="CY31" s="8"/>
      <c r="CZ31" s="8"/>
      <c r="DA31" s="8"/>
      <c r="DB31" s="8"/>
      <c r="DC31" s="8"/>
      <c r="DD31" s="8"/>
      <c r="DE31" s="8"/>
      <c r="DF31" s="8"/>
      <c r="DG31" s="8"/>
      <c r="DH31" s="8"/>
      <c r="DI31" s="8"/>
      <c r="DJ31" s="8"/>
      <c r="DK31" s="8"/>
      <c r="DL31" s="8"/>
      <c r="DM31" s="8"/>
      <c r="DN31" s="8"/>
      <c r="DO31" s="8"/>
      <c r="DP31" s="8"/>
      <c r="DQ31" s="8"/>
      <c r="DR31" s="8"/>
      <c r="DS31" s="8"/>
      <c r="DT31" s="8"/>
      <c r="DU31" s="8"/>
      <c r="DV31" s="8"/>
      <c r="DW31" s="8"/>
      <c r="DX31" s="8"/>
      <c r="DY31" s="8"/>
      <c r="DZ31" s="8"/>
      <c r="EA31" s="8"/>
      <c r="EB31" s="8"/>
      <c r="EC31" s="8"/>
      <c r="ED31" s="8"/>
      <c r="EE31" s="8"/>
      <c r="EF31" s="8"/>
      <c r="EG31" s="8"/>
      <c r="EH31" s="8"/>
      <c r="EI31" s="8"/>
      <c r="EJ31" s="8"/>
      <c r="EK31" s="8"/>
      <c r="EL31" s="8"/>
      <c r="EM31" s="8"/>
      <c r="EN31" s="8"/>
      <c r="EO31" s="8"/>
      <c r="EP31" s="8"/>
      <c r="EQ31" s="8"/>
      <c r="ER31" s="8"/>
      <c r="ES31" s="8"/>
      <c r="ET31" s="8"/>
      <c r="EU31" s="8"/>
      <c r="EV31" s="8"/>
      <c r="EW31" s="8"/>
      <c r="EX31" s="8"/>
      <c r="EY31" s="8"/>
      <c r="EZ31" s="8"/>
      <c r="FA31" s="8"/>
      <c r="FB31" s="8"/>
      <c r="FC31" s="8"/>
      <c r="FD31" s="8"/>
      <c r="FE31" s="8"/>
      <c r="FF31" s="8"/>
      <c r="FG31" s="8"/>
      <c r="FH31" s="8"/>
      <c r="FI31" s="8"/>
      <c r="FJ31" s="8"/>
      <c r="FK31" s="8"/>
      <c r="FL31" s="8"/>
      <c r="FM31" s="8"/>
      <c r="FN31" s="8"/>
      <c r="FO31" s="8"/>
      <c r="FP31" s="8"/>
      <c r="FQ31" s="8"/>
      <c r="FR31" s="8"/>
      <c r="FS31" s="8"/>
      <c r="FT31" s="8"/>
    </row>
    <row r="32" spans="1:176" ht="15" thickBot="1" x14ac:dyDescent="0.35">
      <c r="A32" s="211"/>
      <c r="B32" s="212" t="s">
        <v>2</v>
      </c>
      <c r="C32" s="213">
        <f>SUM(C7:C31)</f>
        <v>4508766.712382324</v>
      </c>
    </row>
  </sheetData>
  <pageMargins left="0.7" right="0.7" top="0.75" bottom="0.75" header="0.3" footer="0.3"/>
  <pageSetup paperSize="9" scale="89"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0CC74-B087-4B6C-B71E-99CD018B3014}">
  <sheetPr>
    <outlinePr summaryBelow="0"/>
    <pageSetUpPr fitToPage="1"/>
  </sheetPr>
  <dimension ref="A1:G1034"/>
  <sheetViews>
    <sheetView tabSelected="1" topLeftCell="A27" zoomScale="85" zoomScaleNormal="85" workbookViewId="0">
      <selection activeCell="G51" sqref="G51"/>
    </sheetView>
  </sheetViews>
  <sheetFormatPr defaultColWidth="9.109375" defaultRowHeight="13.2" x14ac:dyDescent="0.25"/>
  <cols>
    <col min="1" max="1" width="10.21875" style="95" customWidth="1"/>
    <col min="2" max="2" width="65.88671875" style="96" customWidth="1"/>
    <col min="3" max="3" width="11.44140625" style="91" customWidth="1"/>
    <col min="4" max="4" width="7.88671875" style="97" customWidth="1"/>
    <col min="5" max="5" width="13.88671875" style="91" customWidth="1"/>
    <col min="6" max="6" width="17" style="91" customWidth="1"/>
    <col min="7" max="7" width="52.88671875" style="96" customWidth="1"/>
    <col min="8" max="8" width="9.109375" style="88" customWidth="1"/>
    <col min="9" max="16384" width="9.109375" style="88"/>
  </cols>
  <sheetData>
    <row r="1" spans="1:7" s="5" customFormat="1" ht="17.399999999999999" x14ac:dyDescent="0.3">
      <c r="A1" s="72" t="str">
        <f>+Summary!A1</f>
        <v>Empire Construction - SA1 Landon Road</v>
      </c>
      <c r="B1" s="2"/>
      <c r="C1" s="9"/>
      <c r="D1" s="80"/>
      <c r="E1" s="9"/>
      <c r="F1" s="9"/>
      <c r="G1" s="2"/>
    </row>
    <row r="2" spans="1:7" s="5" customFormat="1" ht="17.399999999999999" x14ac:dyDescent="0.3">
      <c r="A2" s="72" t="str">
        <f>+Summary!A2</f>
        <v>Rev. A</v>
      </c>
      <c r="B2" s="2"/>
      <c r="C2" s="9"/>
      <c r="D2" s="80"/>
      <c r="E2" s="9"/>
      <c r="F2" s="9"/>
      <c r="G2" s="2"/>
    </row>
    <row r="3" spans="1:7" s="5" customFormat="1" ht="17.399999999999999" x14ac:dyDescent="0.3">
      <c r="A3" s="72" t="s">
        <v>24</v>
      </c>
      <c r="B3" s="2"/>
      <c r="C3" s="9"/>
      <c r="D3" s="80"/>
      <c r="E3" s="9"/>
      <c r="F3" s="9"/>
      <c r="G3" s="2"/>
    </row>
    <row r="4" spans="1:7" s="5" customFormat="1" ht="17.399999999999999" x14ac:dyDescent="0.3">
      <c r="A4" s="214">
        <v>1908091</v>
      </c>
      <c r="B4" s="214"/>
      <c r="C4" s="9"/>
      <c r="D4" s="80"/>
      <c r="E4" s="9"/>
      <c r="F4" s="9"/>
      <c r="G4" s="2"/>
    </row>
    <row r="6" spans="1:7" s="63" customFormat="1" ht="15.6" x14ac:dyDescent="0.3">
      <c r="A6" s="73">
        <v>12</v>
      </c>
      <c r="B6" s="40" t="s">
        <v>25</v>
      </c>
      <c r="C6" s="59"/>
      <c r="D6" s="60"/>
      <c r="E6" s="59"/>
      <c r="F6" s="59"/>
      <c r="G6" s="40"/>
    </row>
    <row r="7" spans="1:7" s="65" customFormat="1" ht="13.8" x14ac:dyDescent="0.25">
      <c r="A7" s="74" t="s">
        <v>26</v>
      </c>
      <c r="B7" s="57" t="s">
        <v>25</v>
      </c>
      <c r="C7" s="58" t="s">
        <v>0</v>
      </c>
      <c r="D7" s="58" t="s">
        <v>5</v>
      </c>
      <c r="E7" s="58" t="s">
        <v>10</v>
      </c>
      <c r="F7" s="58" t="s">
        <v>6</v>
      </c>
      <c r="G7" s="57" t="s">
        <v>913</v>
      </c>
    </row>
    <row r="8" spans="1:7" s="127" customFormat="1" ht="53.4" customHeight="1" x14ac:dyDescent="0.25">
      <c r="A8" s="41" t="s">
        <v>27</v>
      </c>
      <c r="B8" s="82" t="s">
        <v>28</v>
      </c>
      <c r="C8" s="123"/>
      <c r="D8" s="124"/>
      <c r="E8" s="125"/>
      <c r="F8" s="125"/>
      <c r="G8" s="126"/>
    </row>
    <row r="9" spans="1:7" s="127" customFormat="1" ht="14.4" customHeight="1" x14ac:dyDescent="0.25">
      <c r="A9" s="83"/>
      <c r="B9" s="112" t="s">
        <v>708</v>
      </c>
      <c r="C9" s="123"/>
      <c r="D9" s="124"/>
      <c r="E9" s="125"/>
      <c r="F9" s="125"/>
      <c r="G9" s="126"/>
    </row>
    <row r="10" spans="1:7" s="84" customFormat="1" ht="14.4" customHeight="1" x14ac:dyDescent="0.25">
      <c r="A10" s="83" t="s">
        <v>41</v>
      </c>
      <c r="B10" s="104" t="s">
        <v>802</v>
      </c>
      <c r="C10" s="42">
        <f>2015.02-1207</f>
        <v>808.02</v>
      </c>
      <c r="D10" s="43" t="s">
        <v>56</v>
      </c>
      <c r="E10" s="44">
        <f>(73.16*1.3*0.86)*1.44</f>
        <v>117.78174719999998</v>
      </c>
      <c r="F10" s="44">
        <f>C10*E10</f>
        <v>95170.007372543987</v>
      </c>
      <c r="G10" s="126" t="s">
        <v>910</v>
      </c>
    </row>
    <row r="11" spans="1:7" s="84" customFormat="1" ht="13.8" customHeight="1" x14ac:dyDescent="0.25">
      <c r="A11" s="83"/>
      <c r="B11" s="45"/>
      <c r="C11" s="42"/>
      <c r="D11" s="43"/>
      <c r="E11" s="44"/>
      <c r="F11" s="44"/>
      <c r="G11" s="126"/>
    </row>
    <row r="12" spans="1:7" s="84" customFormat="1" ht="13.8" customHeight="1" x14ac:dyDescent="0.25">
      <c r="A12" s="83"/>
      <c r="B12" s="46"/>
      <c r="C12" s="42"/>
      <c r="D12" s="43"/>
      <c r="E12" s="44"/>
      <c r="F12" s="44"/>
      <c r="G12" s="126"/>
    </row>
    <row r="13" spans="1:7" s="3" customFormat="1" x14ac:dyDescent="0.25">
      <c r="A13" s="85"/>
      <c r="B13" s="11" t="s">
        <v>7</v>
      </c>
      <c r="C13" s="12"/>
      <c r="D13" s="38"/>
      <c r="E13" s="12"/>
      <c r="F13" s="33">
        <f>SUM(F8:F12)</f>
        <v>95170.007372543987</v>
      </c>
      <c r="G13" s="37"/>
    </row>
    <row r="14" spans="1:7" s="3" customFormat="1" ht="13.8" thickBot="1" x14ac:dyDescent="0.3">
      <c r="A14" s="107"/>
      <c r="B14" s="39"/>
      <c r="C14" s="108"/>
      <c r="D14" s="109"/>
      <c r="E14" s="108"/>
      <c r="F14" s="110"/>
      <c r="G14" s="111"/>
    </row>
    <row r="15" spans="1:7" s="3" customFormat="1" ht="13.8" thickBot="1" x14ac:dyDescent="0.3">
      <c r="A15" s="150"/>
      <c r="B15" s="151" t="s">
        <v>759</v>
      </c>
      <c r="C15" s="152"/>
      <c r="D15" s="153"/>
      <c r="E15" s="152"/>
      <c r="F15" s="154">
        <f>F13</f>
        <v>95170.007372543987</v>
      </c>
      <c r="G15" s="155"/>
    </row>
    <row r="16" spans="1:7" x14ac:dyDescent="0.25">
      <c r="A16" s="129"/>
      <c r="F16" s="81"/>
      <c r="G16" s="130"/>
    </row>
    <row r="17" spans="1:7" s="63" customFormat="1" ht="15.6" x14ac:dyDescent="0.3">
      <c r="A17" s="75" t="s">
        <v>29</v>
      </c>
      <c r="B17" s="40" t="s">
        <v>30</v>
      </c>
      <c r="C17" s="59"/>
      <c r="D17" s="60"/>
      <c r="E17" s="59"/>
      <c r="F17" s="61"/>
      <c r="G17" s="62"/>
    </row>
    <row r="18" spans="1:7" s="65" customFormat="1" ht="13.8" x14ac:dyDescent="0.25">
      <c r="A18" s="76" t="s">
        <v>31</v>
      </c>
      <c r="B18" s="57" t="s">
        <v>32</v>
      </c>
      <c r="C18" s="58" t="s">
        <v>0</v>
      </c>
      <c r="D18" s="58" t="s">
        <v>5</v>
      </c>
      <c r="E18" s="58" t="s">
        <v>10</v>
      </c>
      <c r="F18" s="67" t="s">
        <v>6</v>
      </c>
      <c r="G18" s="64"/>
    </row>
    <row r="19" spans="1:7" s="87" customFormat="1" ht="26.4" x14ac:dyDescent="0.25">
      <c r="A19" s="86" t="s">
        <v>33</v>
      </c>
      <c r="B19" s="87" t="s">
        <v>34</v>
      </c>
      <c r="C19" s="139"/>
      <c r="D19" s="140"/>
      <c r="E19" s="141"/>
      <c r="F19" s="141"/>
      <c r="G19" s="47"/>
    </row>
    <row r="20" spans="1:7" s="84" customFormat="1" ht="13.8" customHeight="1" x14ac:dyDescent="0.25">
      <c r="A20" s="142"/>
      <c r="B20" s="88" t="s">
        <v>35</v>
      </c>
      <c r="C20" s="49"/>
      <c r="D20" s="50"/>
      <c r="E20" s="51"/>
      <c r="F20" s="51"/>
      <c r="G20" s="128"/>
    </row>
    <row r="21" spans="1:7" s="84" customFormat="1" ht="13.8" customHeight="1" x14ac:dyDescent="0.25">
      <c r="A21" s="83" t="s">
        <v>38</v>
      </c>
      <c r="B21" s="88" t="s">
        <v>36</v>
      </c>
      <c r="C21" s="143">
        <v>1</v>
      </c>
      <c r="D21" s="50" t="s">
        <v>3</v>
      </c>
      <c r="E21" s="51">
        <f>((2555.83*2)*1.3*0.86)*1.44</f>
        <v>8229.3636672000011</v>
      </c>
      <c r="F21" s="51">
        <f>C21*E21</f>
        <v>8229.3636672000011</v>
      </c>
      <c r="G21" s="126" t="s">
        <v>910</v>
      </c>
    </row>
    <row r="22" spans="1:7" s="84" customFormat="1" ht="13.8" customHeight="1" x14ac:dyDescent="0.25">
      <c r="A22" s="83"/>
      <c r="B22" s="48"/>
      <c r="C22" s="49"/>
      <c r="D22" s="50"/>
      <c r="E22" s="51"/>
      <c r="F22" s="51"/>
      <c r="G22" s="128"/>
    </row>
    <row r="23" spans="1:7" s="84" customFormat="1" ht="13.8" customHeight="1" x14ac:dyDescent="0.25">
      <c r="A23" s="142"/>
      <c r="B23" s="88" t="s">
        <v>37</v>
      </c>
      <c r="C23" s="49"/>
      <c r="D23" s="50"/>
      <c r="E23" s="51"/>
      <c r="F23" s="51"/>
      <c r="G23" s="128"/>
    </row>
    <row r="24" spans="1:7" s="84" customFormat="1" ht="13.8" customHeight="1" x14ac:dyDescent="0.25">
      <c r="A24" s="83" t="s">
        <v>39</v>
      </c>
      <c r="B24" s="88" t="s">
        <v>40</v>
      </c>
      <c r="C24" s="143">
        <v>1</v>
      </c>
      <c r="D24" s="50" t="s">
        <v>3</v>
      </c>
      <c r="E24" s="51">
        <f>(3833.75*1.3*0.86)*1.44</f>
        <v>6172.0307999999995</v>
      </c>
      <c r="F24" s="51">
        <f>C24*E24</f>
        <v>6172.0307999999995</v>
      </c>
      <c r="G24" s="126" t="s">
        <v>910</v>
      </c>
    </row>
    <row r="25" spans="1:7" ht="13.8" customHeight="1" x14ac:dyDescent="0.25">
      <c r="A25" s="77"/>
      <c r="B25" s="53"/>
      <c r="C25" s="54"/>
      <c r="D25" s="70"/>
      <c r="E25" s="55"/>
      <c r="F25" s="55"/>
      <c r="G25" s="53"/>
    </row>
    <row r="26" spans="1:7" s="3" customFormat="1" ht="26.4" x14ac:dyDescent="0.25">
      <c r="A26" s="79" t="s">
        <v>692</v>
      </c>
      <c r="B26" s="106" t="s">
        <v>691</v>
      </c>
      <c r="C26" s="144"/>
      <c r="D26" s="117"/>
      <c r="E26" s="116"/>
      <c r="F26" s="116"/>
      <c r="G26" s="115"/>
    </row>
    <row r="27" spans="1:7" ht="39.6" x14ac:dyDescent="0.25">
      <c r="A27" s="77" t="s">
        <v>760</v>
      </c>
      <c r="B27" s="105" t="s">
        <v>803</v>
      </c>
      <c r="C27" s="145">
        <v>2</v>
      </c>
      <c r="D27" s="70" t="s">
        <v>3</v>
      </c>
      <c r="E27" s="93">
        <f>(15479*1.3*0.86)*1.44</f>
        <v>24919.951680000002</v>
      </c>
      <c r="F27" s="93">
        <f>C27*E27</f>
        <v>49839.903360000004</v>
      </c>
      <c r="G27" s="126" t="s">
        <v>910</v>
      </c>
    </row>
    <row r="28" spans="1:7" ht="13.8" customHeight="1" x14ac:dyDescent="0.25">
      <c r="A28" s="77"/>
      <c r="B28" s="53"/>
      <c r="C28" s="54"/>
      <c r="D28" s="70"/>
      <c r="E28" s="55"/>
      <c r="F28" s="55"/>
      <c r="G28" s="53"/>
    </row>
    <row r="29" spans="1:7" ht="13.8" customHeight="1" x14ac:dyDescent="0.25">
      <c r="A29" s="77"/>
      <c r="B29" s="53"/>
      <c r="C29" s="54"/>
      <c r="D29" s="70"/>
      <c r="E29" s="55"/>
      <c r="F29" s="55"/>
      <c r="G29" s="53"/>
    </row>
    <row r="30" spans="1:7" ht="13.8" customHeight="1" x14ac:dyDescent="0.25">
      <c r="A30" s="77"/>
      <c r="B30" s="53"/>
      <c r="C30" s="55"/>
      <c r="D30" s="70"/>
      <c r="E30" s="55"/>
      <c r="F30" s="56"/>
      <c r="G30" s="53"/>
    </row>
    <row r="31" spans="1:7" s="3" customFormat="1" x14ac:dyDescent="0.25">
      <c r="A31" s="85"/>
      <c r="B31" s="11" t="s">
        <v>7</v>
      </c>
      <c r="C31" s="12"/>
      <c r="D31" s="38"/>
      <c r="E31" s="12"/>
      <c r="F31" s="33">
        <f>SUM(F19:F30)</f>
        <v>64241.297827200004</v>
      </c>
      <c r="G31" s="37"/>
    </row>
    <row r="32" spans="1:7" s="3" customFormat="1" ht="13.8" thickBot="1" x14ac:dyDescent="0.3">
      <c r="A32" s="107"/>
      <c r="B32" s="39"/>
      <c r="C32" s="108"/>
      <c r="D32" s="109"/>
      <c r="E32" s="108"/>
      <c r="F32" s="110"/>
      <c r="G32" s="111"/>
    </row>
    <row r="33" spans="1:7" s="3" customFormat="1" ht="13.8" thickBot="1" x14ac:dyDescent="0.3">
      <c r="A33" s="150"/>
      <c r="B33" s="151" t="s">
        <v>759</v>
      </c>
      <c r="C33" s="152"/>
      <c r="D33" s="153"/>
      <c r="E33" s="152"/>
      <c r="F33" s="154">
        <f>F31</f>
        <v>64241.297827200004</v>
      </c>
      <c r="G33" s="155"/>
    </row>
    <row r="34" spans="1:7" x14ac:dyDescent="0.25">
      <c r="A34" s="129"/>
      <c r="F34" s="81"/>
      <c r="G34" s="130"/>
    </row>
    <row r="35" spans="1:7" s="63" customFormat="1" ht="15.6" x14ac:dyDescent="0.3">
      <c r="A35" s="75" t="s">
        <v>42</v>
      </c>
      <c r="B35" s="40" t="s">
        <v>43</v>
      </c>
      <c r="C35" s="59"/>
      <c r="D35" s="60"/>
      <c r="E35" s="59"/>
      <c r="F35" s="61"/>
      <c r="G35" s="62"/>
    </row>
    <row r="36" spans="1:7" s="65" customFormat="1" ht="13.8" customHeight="1" x14ac:dyDescent="0.25">
      <c r="A36" s="78">
        <v>14.1</v>
      </c>
      <c r="B36" s="66" t="s">
        <v>44</v>
      </c>
      <c r="C36" s="68" t="s">
        <v>0</v>
      </c>
      <c r="D36" s="68" t="s">
        <v>5</v>
      </c>
      <c r="E36" s="68" t="s">
        <v>10</v>
      </c>
      <c r="F36" s="69" t="s">
        <v>6</v>
      </c>
      <c r="G36" s="66"/>
    </row>
    <row r="37" spans="1:7" s="3" customFormat="1" x14ac:dyDescent="0.25">
      <c r="A37" s="79" t="s">
        <v>45</v>
      </c>
      <c r="B37" s="3" t="s">
        <v>47</v>
      </c>
      <c r="C37" s="116"/>
      <c r="D37" s="117"/>
      <c r="E37" s="116"/>
      <c r="F37" s="118"/>
      <c r="G37" s="115"/>
    </row>
    <row r="38" spans="1:7" x14ac:dyDescent="0.25">
      <c r="A38" s="77"/>
      <c r="B38" s="88" t="s">
        <v>49</v>
      </c>
      <c r="C38" s="55"/>
      <c r="D38" s="70"/>
      <c r="E38" s="55"/>
      <c r="F38" s="56"/>
      <c r="G38" s="53"/>
    </row>
    <row r="39" spans="1:7" x14ac:dyDescent="0.25">
      <c r="A39" s="77" t="s">
        <v>46</v>
      </c>
      <c r="B39" s="88" t="s">
        <v>804</v>
      </c>
      <c r="C39" s="55">
        <v>750.76</v>
      </c>
      <c r="D39" s="70" t="s">
        <v>56</v>
      </c>
      <c r="E39" s="93">
        <f>((60.77*1.25)*1.3*0.86)*1.44</f>
        <v>122.29354800000002</v>
      </c>
      <c r="F39" s="56">
        <f t="shared" ref="F39:F96" si="0">C39*E39</f>
        <v>91813.104096480005</v>
      </c>
      <c r="G39" s="53" t="s">
        <v>911</v>
      </c>
    </row>
    <row r="40" spans="1:7" x14ac:dyDescent="0.25">
      <c r="A40" s="77"/>
      <c r="B40" s="53"/>
      <c r="C40" s="55"/>
      <c r="D40" s="70"/>
      <c r="E40" s="93"/>
      <c r="F40" s="56"/>
      <c r="G40" s="53"/>
    </row>
    <row r="41" spans="1:7" s="3" customFormat="1" x14ac:dyDescent="0.25">
      <c r="A41" s="79" t="s">
        <v>48</v>
      </c>
      <c r="B41" s="3" t="s">
        <v>51</v>
      </c>
      <c r="C41" s="116"/>
      <c r="D41" s="117"/>
      <c r="E41" s="121"/>
      <c r="F41" s="118"/>
      <c r="G41" s="115"/>
    </row>
    <row r="42" spans="1:7" x14ac:dyDescent="0.25">
      <c r="A42" s="77"/>
      <c r="B42" s="88" t="s">
        <v>52</v>
      </c>
      <c r="C42" s="55"/>
      <c r="D42" s="70"/>
      <c r="E42" s="93"/>
      <c r="F42" s="56"/>
      <c r="G42" s="53"/>
    </row>
    <row r="43" spans="1:7" x14ac:dyDescent="0.25">
      <c r="A43" s="77" t="s">
        <v>50</v>
      </c>
      <c r="B43" s="88" t="s">
        <v>53</v>
      </c>
      <c r="C43" s="55">
        <v>53</v>
      </c>
      <c r="D43" s="70" t="s">
        <v>3</v>
      </c>
      <c r="E43" s="93">
        <f>(5.47*1.3*0.86)*1.44</f>
        <v>8.8062623999999996</v>
      </c>
      <c r="F43" s="56">
        <f t="shared" si="0"/>
        <v>466.73190719999997</v>
      </c>
      <c r="G43" s="53" t="s">
        <v>912</v>
      </c>
    </row>
    <row r="44" spans="1:7" x14ac:dyDescent="0.25">
      <c r="A44" s="77"/>
      <c r="B44" s="53"/>
      <c r="C44" s="89"/>
      <c r="D44" s="70"/>
      <c r="E44" s="55"/>
      <c r="F44" s="56"/>
      <c r="G44" s="53"/>
    </row>
    <row r="45" spans="1:7" x14ac:dyDescent="0.25">
      <c r="A45" s="77"/>
      <c r="B45" s="52"/>
      <c r="C45" s="55"/>
      <c r="D45" s="90"/>
      <c r="E45" s="55"/>
      <c r="F45" s="56"/>
      <c r="G45" s="53"/>
    </row>
    <row r="46" spans="1:7" s="3" customFormat="1" x14ac:dyDescent="0.25">
      <c r="A46" s="85"/>
      <c r="B46" s="11" t="s">
        <v>7</v>
      </c>
      <c r="C46" s="12"/>
      <c r="D46" s="38"/>
      <c r="E46" s="12"/>
      <c r="F46" s="33">
        <f>SUM(F37:F45)</f>
        <v>92279.83600368</v>
      </c>
      <c r="G46" s="37"/>
    </row>
    <row r="47" spans="1:7" x14ac:dyDescent="0.25">
      <c r="F47" s="81"/>
    </row>
    <row r="48" spans="1:7" s="65" customFormat="1" ht="13.8" x14ac:dyDescent="0.25">
      <c r="A48" s="78">
        <v>14.2</v>
      </c>
      <c r="B48" s="66" t="s">
        <v>54</v>
      </c>
      <c r="C48" s="68" t="s">
        <v>0</v>
      </c>
      <c r="D48" s="68" t="s">
        <v>5</v>
      </c>
      <c r="E48" s="68" t="s">
        <v>10</v>
      </c>
      <c r="F48" s="69" t="s">
        <v>6</v>
      </c>
      <c r="G48" s="66"/>
    </row>
    <row r="49" spans="1:7" s="3" customFormat="1" x14ac:dyDescent="0.25">
      <c r="A49" s="79" t="s">
        <v>55</v>
      </c>
      <c r="B49" s="3" t="s">
        <v>58</v>
      </c>
      <c r="C49" s="116"/>
      <c r="D49" s="117"/>
      <c r="E49" s="149"/>
      <c r="F49" s="118"/>
      <c r="G49" s="115"/>
    </row>
    <row r="50" spans="1:7" x14ac:dyDescent="0.25">
      <c r="A50" s="77"/>
      <c r="B50" s="88" t="s">
        <v>59</v>
      </c>
      <c r="C50" s="55"/>
      <c r="D50" s="70"/>
      <c r="E50" s="89"/>
      <c r="F50" s="56"/>
      <c r="G50" s="53"/>
    </row>
    <row r="51" spans="1:7" x14ac:dyDescent="0.25">
      <c r="A51" s="77" t="s">
        <v>57</v>
      </c>
      <c r="B51" s="88" t="s">
        <v>60</v>
      </c>
      <c r="C51" s="55">
        <v>2196.4899999999998</v>
      </c>
      <c r="D51" s="70" t="s">
        <v>56</v>
      </c>
      <c r="E51" s="99">
        <f>((34.53*1.25)*1.3*0.86)*1.44</f>
        <v>69.488172000000006</v>
      </c>
      <c r="F51" s="56">
        <f t="shared" si="0"/>
        <v>152630.07491627999</v>
      </c>
      <c r="G51" s="53"/>
    </row>
    <row r="52" spans="1:7" x14ac:dyDescent="0.25">
      <c r="A52" s="77"/>
      <c r="B52" s="88"/>
      <c r="C52" s="55"/>
      <c r="D52" s="70"/>
      <c r="E52" s="99"/>
      <c r="F52" s="56"/>
      <c r="G52" s="53"/>
    </row>
    <row r="53" spans="1:7" x14ac:dyDescent="0.25">
      <c r="A53" s="77"/>
      <c r="B53" s="88" t="s">
        <v>61</v>
      </c>
      <c r="C53" s="55"/>
      <c r="D53" s="70"/>
      <c r="E53" s="99"/>
      <c r="F53" s="56"/>
      <c r="G53" s="53"/>
    </row>
    <row r="54" spans="1:7" x14ac:dyDescent="0.25">
      <c r="A54" s="77" t="s">
        <v>62</v>
      </c>
      <c r="B54" s="88" t="s">
        <v>63</v>
      </c>
      <c r="C54" s="55">
        <v>96.98</v>
      </c>
      <c r="D54" s="70" t="s">
        <v>1</v>
      </c>
      <c r="E54" s="99">
        <f>(7.51*1.3*0.86)*1.44</f>
        <v>12.090499199999998</v>
      </c>
      <c r="F54" s="56">
        <f t="shared" si="0"/>
        <v>1172.5366124159998</v>
      </c>
      <c r="G54" s="53"/>
    </row>
    <row r="55" spans="1:7" x14ac:dyDescent="0.25">
      <c r="A55" s="77"/>
      <c r="B55" s="52"/>
      <c r="C55" s="55"/>
      <c r="D55" s="70"/>
      <c r="F55" s="56"/>
      <c r="G55" s="53"/>
    </row>
    <row r="56" spans="1:7" s="3" customFormat="1" x14ac:dyDescent="0.25">
      <c r="A56" s="85"/>
      <c r="B56" s="11" t="s">
        <v>7</v>
      </c>
      <c r="C56" s="12"/>
      <c r="D56" s="38"/>
      <c r="E56" s="12"/>
      <c r="F56" s="33">
        <f>SUM(F49:F55)</f>
        <v>153802.611528696</v>
      </c>
      <c r="G56" s="37"/>
    </row>
    <row r="57" spans="1:7" x14ac:dyDescent="0.25">
      <c r="A57" s="129"/>
      <c r="F57" s="81"/>
      <c r="G57" s="130"/>
    </row>
    <row r="58" spans="1:7" s="65" customFormat="1" ht="13.8" x14ac:dyDescent="0.25">
      <c r="A58" s="78">
        <v>14.7</v>
      </c>
      <c r="B58" s="66" t="s">
        <v>64</v>
      </c>
      <c r="C58" s="68" t="s">
        <v>0</v>
      </c>
      <c r="D58" s="68" t="s">
        <v>5</v>
      </c>
      <c r="E58" s="68" t="s">
        <v>10</v>
      </c>
      <c r="F58" s="69" t="s">
        <v>6</v>
      </c>
      <c r="G58" s="66"/>
    </row>
    <row r="59" spans="1:7" s="3" customFormat="1" x14ac:dyDescent="0.25">
      <c r="A59" s="79" t="s">
        <v>66</v>
      </c>
      <c r="B59" s="3" t="s">
        <v>65</v>
      </c>
      <c r="C59" s="116"/>
      <c r="D59" s="117"/>
      <c r="E59" s="116"/>
      <c r="F59" s="118"/>
      <c r="G59" s="115"/>
    </row>
    <row r="60" spans="1:7" x14ac:dyDescent="0.25">
      <c r="A60" s="77"/>
      <c r="B60" s="88" t="s">
        <v>67</v>
      </c>
      <c r="C60" s="55"/>
      <c r="D60" s="70"/>
      <c r="E60" s="55"/>
      <c r="F60" s="56"/>
      <c r="G60" s="53"/>
    </row>
    <row r="61" spans="1:7" ht="13.8" customHeight="1" x14ac:dyDescent="0.25">
      <c r="A61" s="77" t="s">
        <v>68</v>
      </c>
      <c r="B61" s="84" t="s">
        <v>805</v>
      </c>
      <c r="C61" s="55">
        <v>1032.58</v>
      </c>
      <c r="D61" s="70" t="s">
        <v>56</v>
      </c>
      <c r="E61" s="93">
        <f>(1.9*1.3*0.86)*1.44</f>
        <v>3.0588479999999993</v>
      </c>
      <c r="F61" s="56">
        <f t="shared" si="0"/>
        <v>3158.5052678399993</v>
      </c>
      <c r="G61" s="53"/>
    </row>
    <row r="62" spans="1:7" ht="13.8" customHeight="1" x14ac:dyDescent="0.25">
      <c r="A62" s="77"/>
      <c r="B62" s="84"/>
      <c r="C62" s="55"/>
      <c r="D62" s="70"/>
      <c r="E62" s="93"/>
      <c r="F62" s="56"/>
      <c r="G62" s="53"/>
    </row>
    <row r="63" spans="1:7" s="3" customFormat="1" ht="13.8" customHeight="1" x14ac:dyDescent="0.25">
      <c r="A63" s="79" t="s">
        <v>69</v>
      </c>
      <c r="B63" s="3" t="s">
        <v>696</v>
      </c>
      <c r="C63" s="116"/>
      <c r="D63" s="117"/>
      <c r="E63" s="121"/>
      <c r="F63" s="118"/>
      <c r="G63" s="115"/>
    </row>
    <row r="64" spans="1:7" ht="13.8" customHeight="1" x14ac:dyDescent="0.25">
      <c r="A64" s="77"/>
      <c r="B64" s="88" t="s">
        <v>697</v>
      </c>
      <c r="C64" s="55"/>
      <c r="D64" s="70"/>
      <c r="E64" s="93"/>
      <c r="F64" s="56"/>
      <c r="G64" s="53"/>
    </row>
    <row r="65" spans="1:7" ht="13.8" customHeight="1" x14ac:dyDescent="0.25">
      <c r="A65" s="77" t="s">
        <v>71</v>
      </c>
      <c r="B65" s="84" t="s">
        <v>806</v>
      </c>
      <c r="C65" s="55">
        <v>1030.06</v>
      </c>
      <c r="D65" s="70" t="s">
        <v>1</v>
      </c>
      <c r="E65" s="93">
        <f>(1.16*1.3*0.86)*1.44</f>
        <v>1.8675071999999999</v>
      </c>
      <c r="F65" s="56">
        <f>C65*E65</f>
        <v>1923.6444664319997</v>
      </c>
      <c r="G65" s="53" t="s">
        <v>914</v>
      </c>
    </row>
    <row r="66" spans="1:7" ht="13.8" customHeight="1" x14ac:dyDescent="0.25">
      <c r="A66" s="77"/>
      <c r="B66" s="52"/>
      <c r="C66" s="55"/>
      <c r="D66" s="70"/>
      <c r="E66" s="93"/>
      <c r="F66" s="56"/>
      <c r="G66" s="53"/>
    </row>
    <row r="67" spans="1:7" s="3" customFormat="1" x14ac:dyDescent="0.25">
      <c r="A67" s="79" t="s">
        <v>73</v>
      </c>
      <c r="B67" s="3" t="s">
        <v>23</v>
      </c>
      <c r="C67" s="116"/>
      <c r="D67" s="117"/>
      <c r="E67" s="121"/>
      <c r="F67" s="118"/>
      <c r="G67" s="115"/>
    </row>
    <row r="68" spans="1:7" x14ac:dyDescent="0.25">
      <c r="A68" s="77"/>
      <c r="B68" s="88" t="s">
        <v>70</v>
      </c>
      <c r="C68" s="55"/>
      <c r="D68" s="70"/>
      <c r="E68" s="93"/>
      <c r="F68" s="56"/>
      <c r="G68" s="53"/>
    </row>
    <row r="69" spans="1:7" x14ac:dyDescent="0.25">
      <c r="A69" s="77" t="s">
        <v>75</v>
      </c>
      <c r="B69" s="88" t="s">
        <v>807</v>
      </c>
      <c r="C69" s="55">
        <v>118</v>
      </c>
      <c r="D69" s="70" t="s">
        <v>3</v>
      </c>
      <c r="E69" s="93">
        <f>(0.79*1.3*0.86)*1.44</f>
        <v>1.2718368000000002</v>
      </c>
      <c r="F69" s="56">
        <f t="shared" si="0"/>
        <v>150.07674240000003</v>
      </c>
      <c r="G69" s="53" t="s">
        <v>915</v>
      </c>
    </row>
    <row r="70" spans="1:7" x14ac:dyDescent="0.25">
      <c r="A70" s="77"/>
      <c r="B70" s="52"/>
      <c r="C70" s="55"/>
      <c r="D70" s="70"/>
      <c r="E70" s="93"/>
      <c r="F70" s="56"/>
      <c r="G70" s="53"/>
    </row>
    <row r="71" spans="1:7" ht="26.4" x14ac:dyDescent="0.25">
      <c r="A71" s="77" t="s">
        <v>761</v>
      </c>
      <c r="B71" s="88" t="s">
        <v>808</v>
      </c>
      <c r="C71" s="55">
        <v>250</v>
      </c>
      <c r="D71" s="70" t="s">
        <v>3</v>
      </c>
      <c r="E71" s="93">
        <f>(32*1.3*0.86)*1.44</f>
        <v>51.517440000000001</v>
      </c>
      <c r="F71" s="56">
        <f t="shared" si="0"/>
        <v>12879.36</v>
      </c>
      <c r="G71" s="105" t="s">
        <v>916</v>
      </c>
    </row>
    <row r="72" spans="1:7" x14ac:dyDescent="0.25">
      <c r="A72" s="77"/>
      <c r="B72" s="88"/>
      <c r="C72" s="55"/>
      <c r="D72" s="70"/>
      <c r="E72" s="93"/>
      <c r="F72" s="56"/>
      <c r="G72" s="53"/>
    </row>
    <row r="73" spans="1:7" s="3" customFormat="1" x14ac:dyDescent="0.25">
      <c r="A73" s="79" t="s">
        <v>77</v>
      </c>
      <c r="B73" s="3" t="s">
        <v>72</v>
      </c>
      <c r="C73" s="116"/>
      <c r="D73" s="117"/>
      <c r="E73" s="121"/>
      <c r="F73" s="118"/>
      <c r="G73" s="115"/>
    </row>
    <row r="74" spans="1:7" ht="26.4" x14ac:dyDescent="0.25">
      <c r="A74" s="77"/>
      <c r="B74" s="84" t="s">
        <v>74</v>
      </c>
      <c r="C74" s="55"/>
      <c r="D74" s="70"/>
      <c r="E74" s="93"/>
      <c r="F74" s="56"/>
      <c r="G74" s="53"/>
    </row>
    <row r="75" spans="1:7" x14ac:dyDescent="0.25">
      <c r="A75" s="77" t="s">
        <v>80</v>
      </c>
      <c r="B75" s="88" t="s">
        <v>809</v>
      </c>
      <c r="C75" s="71">
        <v>862.44899999999996</v>
      </c>
      <c r="D75" s="70" t="s">
        <v>1</v>
      </c>
      <c r="E75" s="93">
        <f>(7.33*1.3*0.86)*1.44</f>
        <v>11.800713599999998</v>
      </c>
      <c r="F75" s="56">
        <f t="shared" si="0"/>
        <v>10177.513643606399</v>
      </c>
      <c r="G75" s="53"/>
    </row>
    <row r="76" spans="1:7" x14ac:dyDescent="0.25">
      <c r="A76" s="77"/>
      <c r="B76" s="52"/>
      <c r="C76" s="55"/>
      <c r="D76" s="70"/>
      <c r="E76" s="93"/>
      <c r="F76" s="56"/>
      <c r="G76" s="53"/>
    </row>
    <row r="77" spans="1:7" s="3" customFormat="1" ht="26.4" x14ac:dyDescent="0.25">
      <c r="A77" s="79" t="s">
        <v>762</v>
      </c>
      <c r="B77" s="87" t="s">
        <v>76</v>
      </c>
      <c r="C77" s="116"/>
      <c r="D77" s="117"/>
      <c r="E77" s="121"/>
      <c r="F77" s="118"/>
      <c r="G77" s="115"/>
    </row>
    <row r="78" spans="1:7" x14ac:dyDescent="0.25">
      <c r="A78" s="77"/>
      <c r="B78" s="88" t="s">
        <v>78</v>
      </c>
      <c r="C78" s="55"/>
      <c r="D78" s="70"/>
      <c r="E78" s="93"/>
      <c r="F78" s="56"/>
      <c r="G78" s="53"/>
    </row>
    <row r="79" spans="1:7" x14ac:dyDescent="0.25">
      <c r="A79" s="77" t="s">
        <v>763</v>
      </c>
      <c r="B79" s="88" t="s">
        <v>94</v>
      </c>
      <c r="C79" s="55">
        <v>1</v>
      </c>
      <c r="D79" s="70" t="s">
        <v>3</v>
      </c>
      <c r="E79" s="93">
        <f>(171.32*1.3*0.86)*1.44</f>
        <v>275.81149440000002</v>
      </c>
      <c r="F79" s="56">
        <f>C79*E79</f>
        <v>275.81149440000002</v>
      </c>
      <c r="G79" s="53"/>
    </row>
    <row r="80" spans="1:7" x14ac:dyDescent="0.25">
      <c r="A80" s="77" t="s">
        <v>764</v>
      </c>
      <c r="B80" s="88" t="s">
        <v>79</v>
      </c>
      <c r="C80" s="55">
        <v>18</v>
      </c>
      <c r="D80" s="70" t="s">
        <v>3</v>
      </c>
      <c r="E80" s="93">
        <f>(232.03*1.3*0.86)*1.44</f>
        <v>373.54973759999996</v>
      </c>
      <c r="F80" s="56">
        <f t="shared" si="0"/>
        <v>6723.895276799999</v>
      </c>
      <c r="G80" s="53"/>
    </row>
    <row r="81" spans="1:7" x14ac:dyDescent="0.25">
      <c r="A81" s="77"/>
      <c r="B81" s="52"/>
      <c r="C81" s="55"/>
      <c r="D81" s="70"/>
      <c r="E81" s="93"/>
      <c r="F81" s="56"/>
      <c r="G81" s="53"/>
    </row>
    <row r="82" spans="1:7" x14ac:dyDescent="0.25">
      <c r="A82" s="77"/>
      <c r="B82" s="52"/>
      <c r="C82" s="55"/>
      <c r="D82" s="70"/>
      <c r="E82" s="55"/>
      <c r="F82" s="56"/>
      <c r="G82" s="53"/>
    </row>
    <row r="83" spans="1:7" s="3" customFormat="1" x14ac:dyDescent="0.25">
      <c r="A83" s="85"/>
      <c r="B83" s="11" t="s">
        <v>7</v>
      </c>
      <c r="C83" s="12"/>
      <c r="D83" s="38"/>
      <c r="E83" s="12"/>
      <c r="F83" s="33">
        <f>SUM(F59:F82)</f>
        <v>35288.806891478402</v>
      </c>
      <c r="G83" s="37"/>
    </row>
    <row r="84" spans="1:7" x14ac:dyDescent="0.25">
      <c r="A84" s="129"/>
      <c r="F84" s="81"/>
      <c r="G84" s="130"/>
    </row>
    <row r="85" spans="1:7" s="65" customFormat="1" ht="13.8" x14ac:dyDescent="0.25">
      <c r="A85" s="78">
        <v>14.9</v>
      </c>
      <c r="B85" s="66" t="s">
        <v>89</v>
      </c>
      <c r="C85" s="68" t="s">
        <v>0</v>
      </c>
      <c r="D85" s="68" t="s">
        <v>5</v>
      </c>
      <c r="E85" s="68" t="s">
        <v>10</v>
      </c>
      <c r="F85" s="69" t="s">
        <v>6</v>
      </c>
      <c r="G85" s="66"/>
    </row>
    <row r="86" spans="1:7" s="3" customFormat="1" x14ac:dyDescent="0.25">
      <c r="A86" s="79" t="s">
        <v>90</v>
      </c>
      <c r="B86" s="3" t="s">
        <v>91</v>
      </c>
      <c r="C86" s="116"/>
      <c r="D86" s="117"/>
      <c r="E86" s="116"/>
      <c r="F86" s="118"/>
      <c r="G86" s="115"/>
    </row>
    <row r="87" spans="1:7" ht="16.2" customHeight="1" x14ac:dyDescent="0.25">
      <c r="A87" s="77"/>
      <c r="B87" s="131" t="s">
        <v>92</v>
      </c>
      <c r="C87" s="55"/>
      <c r="D87" s="70"/>
      <c r="E87" s="55"/>
      <c r="F87" s="56"/>
      <c r="G87" s="53"/>
    </row>
    <row r="88" spans="1:7" x14ac:dyDescent="0.25">
      <c r="A88" s="77" t="s">
        <v>93</v>
      </c>
      <c r="B88" s="88" t="s">
        <v>810</v>
      </c>
      <c r="C88" s="71">
        <v>253</v>
      </c>
      <c r="D88" s="70" t="s">
        <v>1</v>
      </c>
      <c r="E88" s="93">
        <f>(2.81*1.3*0.86)*1.44</f>
        <v>4.5238752</v>
      </c>
      <c r="F88" s="56">
        <f>C88*E88</f>
        <v>1144.5404255999999</v>
      </c>
      <c r="G88" s="53" t="s">
        <v>917</v>
      </c>
    </row>
    <row r="89" spans="1:7" x14ac:dyDescent="0.25">
      <c r="A89" s="77"/>
      <c r="B89" s="112"/>
      <c r="C89" s="88"/>
      <c r="D89" s="70"/>
      <c r="E89" s="55"/>
      <c r="F89" s="56"/>
      <c r="G89" s="53"/>
    </row>
    <row r="90" spans="1:7" x14ac:dyDescent="0.25">
      <c r="A90" s="77"/>
      <c r="B90" s="52"/>
      <c r="C90" s="55"/>
      <c r="D90" s="70"/>
      <c r="E90" s="55"/>
      <c r="F90" s="56"/>
      <c r="G90" s="53"/>
    </row>
    <row r="91" spans="1:7" s="3" customFormat="1" x14ac:dyDescent="0.25">
      <c r="A91" s="85"/>
      <c r="B91" s="11" t="s">
        <v>7</v>
      </c>
      <c r="C91" s="12"/>
      <c r="D91" s="38"/>
      <c r="E91" s="12"/>
      <c r="F91" s="33">
        <f>SUM(F86:F90)</f>
        <v>1144.5404255999999</v>
      </c>
      <c r="G91" s="37"/>
    </row>
    <row r="92" spans="1:7" x14ac:dyDescent="0.25">
      <c r="A92" s="129"/>
      <c r="F92" s="81"/>
      <c r="G92" s="130"/>
    </row>
    <row r="93" spans="1:7" s="65" customFormat="1" ht="13.8" x14ac:dyDescent="0.25">
      <c r="A93" s="78">
        <v>14.11</v>
      </c>
      <c r="B93" s="66" t="s">
        <v>81</v>
      </c>
      <c r="C93" s="68" t="s">
        <v>0</v>
      </c>
      <c r="D93" s="68" t="s">
        <v>5</v>
      </c>
      <c r="E93" s="68" t="s">
        <v>10</v>
      </c>
      <c r="F93" s="69" t="s">
        <v>6</v>
      </c>
      <c r="G93" s="66"/>
    </row>
    <row r="94" spans="1:7" s="3" customFormat="1" x14ac:dyDescent="0.25">
      <c r="A94" s="79" t="s">
        <v>82</v>
      </c>
      <c r="B94" s="3" t="s">
        <v>81</v>
      </c>
      <c r="C94" s="116"/>
      <c r="D94" s="117"/>
      <c r="E94" s="116"/>
      <c r="F94" s="118"/>
      <c r="G94" s="115"/>
    </row>
    <row r="95" spans="1:7" ht="39.6" x14ac:dyDescent="0.25">
      <c r="A95" s="77"/>
      <c r="B95" s="84" t="s">
        <v>920</v>
      </c>
      <c r="C95" s="55"/>
      <c r="D95" s="70"/>
      <c r="E95" s="55"/>
      <c r="F95" s="56"/>
      <c r="G95" s="53"/>
    </row>
    <row r="96" spans="1:7" ht="26.4" x14ac:dyDescent="0.25">
      <c r="A96" s="77" t="s">
        <v>83</v>
      </c>
      <c r="B96" s="84" t="s">
        <v>811</v>
      </c>
      <c r="C96" s="71">
        <v>100.8</v>
      </c>
      <c r="D96" s="70" t="s">
        <v>1</v>
      </c>
      <c r="E96" s="93">
        <f>(22.47*1.3*0.86)*1.44</f>
        <v>36.174902400000001</v>
      </c>
      <c r="F96" s="56">
        <f t="shared" si="0"/>
        <v>3646.43016192</v>
      </c>
      <c r="G96" s="53" t="s">
        <v>1247</v>
      </c>
    </row>
    <row r="97" spans="1:7" x14ac:dyDescent="0.25">
      <c r="A97" s="77"/>
      <c r="B97" s="84"/>
      <c r="C97" s="55"/>
      <c r="D97" s="70"/>
      <c r="E97" s="55"/>
      <c r="F97" s="56"/>
      <c r="G97" s="53"/>
    </row>
    <row r="98" spans="1:7" x14ac:dyDescent="0.25">
      <c r="A98" s="77"/>
      <c r="B98" s="52"/>
      <c r="C98" s="55"/>
      <c r="D98" s="70"/>
      <c r="E98" s="55"/>
      <c r="F98" s="56"/>
      <c r="G98" s="53"/>
    </row>
    <row r="99" spans="1:7" s="3" customFormat="1" x14ac:dyDescent="0.25">
      <c r="A99" s="85"/>
      <c r="B99" s="11" t="s">
        <v>7</v>
      </c>
      <c r="C99" s="12"/>
      <c r="D99" s="38"/>
      <c r="E99" s="12"/>
      <c r="F99" s="33">
        <f>SUM(F94:F98)</f>
        <v>3646.43016192</v>
      </c>
      <c r="G99" s="37"/>
    </row>
    <row r="100" spans="1:7" s="3" customFormat="1" ht="13.8" thickBot="1" x14ac:dyDescent="0.3">
      <c r="A100" s="107"/>
      <c r="B100" s="39"/>
      <c r="C100" s="108"/>
      <c r="D100" s="109"/>
      <c r="E100" s="108"/>
      <c r="F100" s="110"/>
      <c r="G100" s="111"/>
    </row>
    <row r="101" spans="1:7" s="3" customFormat="1" ht="13.8" thickBot="1" x14ac:dyDescent="0.3">
      <c r="A101" s="150"/>
      <c r="B101" s="151" t="s">
        <v>759</v>
      </c>
      <c r="C101" s="152"/>
      <c r="D101" s="153"/>
      <c r="E101" s="152"/>
      <c r="F101" s="154">
        <f>F46+F56+F83+F91+F99</f>
        <v>286162.22501137445</v>
      </c>
      <c r="G101" s="155"/>
    </row>
    <row r="102" spans="1:7" x14ac:dyDescent="0.25">
      <c r="A102" s="129"/>
      <c r="F102" s="81"/>
      <c r="G102" s="130"/>
    </row>
    <row r="103" spans="1:7" s="63" customFormat="1" ht="15.6" x14ac:dyDescent="0.3">
      <c r="A103" s="75" t="s">
        <v>104</v>
      </c>
      <c r="B103" s="40" t="s">
        <v>105</v>
      </c>
      <c r="C103" s="59"/>
      <c r="D103" s="60"/>
      <c r="E103" s="59"/>
      <c r="F103" s="61"/>
      <c r="G103" s="62"/>
    </row>
    <row r="104" spans="1:7" s="65" customFormat="1" ht="13.8" x14ac:dyDescent="0.25">
      <c r="A104" s="78">
        <v>15.1</v>
      </c>
      <c r="B104" s="57" t="s">
        <v>84</v>
      </c>
      <c r="C104" s="68" t="s">
        <v>0</v>
      </c>
      <c r="D104" s="68" t="s">
        <v>5</v>
      </c>
      <c r="E104" s="68" t="s">
        <v>10</v>
      </c>
      <c r="F104" s="69" t="s">
        <v>6</v>
      </c>
      <c r="G104" s="66"/>
    </row>
    <row r="105" spans="1:7" s="3" customFormat="1" ht="26.4" x14ac:dyDescent="0.25">
      <c r="A105" s="79" t="s">
        <v>86</v>
      </c>
      <c r="B105" s="87" t="s">
        <v>85</v>
      </c>
      <c r="C105" s="116"/>
      <c r="D105" s="117"/>
      <c r="E105" s="116"/>
      <c r="F105" s="121"/>
      <c r="G105" s="115"/>
    </row>
    <row r="106" spans="1:7" x14ac:dyDescent="0.25">
      <c r="A106" s="77"/>
      <c r="B106" s="88" t="s">
        <v>474</v>
      </c>
      <c r="C106" s="55"/>
      <c r="D106" s="70"/>
      <c r="E106" s="93"/>
      <c r="F106" s="93"/>
      <c r="G106" s="53"/>
    </row>
    <row r="107" spans="1:7" x14ac:dyDescent="0.25">
      <c r="A107" s="77" t="s">
        <v>475</v>
      </c>
      <c r="B107" s="88" t="s">
        <v>473</v>
      </c>
      <c r="C107" s="71">
        <f>'Steel Schedule'!B113</f>
        <v>39.343200000000003</v>
      </c>
      <c r="D107" s="70" t="s">
        <v>472</v>
      </c>
      <c r="E107" s="93">
        <f>((1577.13*1.2)*1.3*0.86)*1.44</f>
        <v>3046.8637555199994</v>
      </c>
      <c r="F107" s="93">
        <f>C107*E107</f>
        <v>119873.37010617445</v>
      </c>
      <c r="G107" s="53"/>
    </row>
    <row r="108" spans="1:7" x14ac:dyDescent="0.25">
      <c r="A108" s="77"/>
      <c r="B108" s="52"/>
      <c r="C108" s="103"/>
      <c r="D108" s="100"/>
      <c r="E108" s="101"/>
      <c r="F108" s="102"/>
      <c r="G108" s="53"/>
    </row>
    <row r="109" spans="1:7" x14ac:dyDescent="0.25">
      <c r="A109" s="77"/>
      <c r="B109" s="88" t="s">
        <v>477</v>
      </c>
      <c r="C109" s="71"/>
      <c r="D109" s="70"/>
      <c r="E109" s="93"/>
      <c r="F109" s="93"/>
      <c r="G109" s="53"/>
    </row>
    <row r="110" spans="1:7" x14ac:dyDescent="0.25">
      <c r="A110" s="77" t="s">
        <v>476</v>
      </c>
      <c r="B110" s="100" t="s">
        <v>471</v>
      </c>
      <c r="C110" s="132">
        <f>'Steel Schedule'!B279</f>
        <v>35.602960000000003</v>
      </c>
      <c r="D110" s="70" t="s">
        <v>472</v>
      </c>
      <c r="E110" s="93">
        <f>((1965.63*1.2)*1.3*0.86)*1.44</f>
        <v>3797.4084595199997</v>
      </c>
      <c r="F110" s="93">
        <f>C110*E110</f>
        <v>135198.98148795217</v>
      </c>
      <c r="G110" s="53"/>
    </row>
    <row r="111" spans="1:7" x14ac:dyDescent="0.25">
      <c r="A111" s="77"/>
      <c r="B111" s="52"/>
      <c r="C111" s="71"/>
      <c r="D111" s="70"/>
      <c r="E111" s="93"/>
      <c r="F111" s="93"/>
      <c r="G111" s="53"/>
    </row>
    <row r="112" spans="1:7" x14ac:dyDescent="0.25">
      <c r="A112" s="77"/>
      <c r="B112" s="52" t="s">
        <v>481</v>
      </c>
      <c r="C112" s="71"/>
      <c r="D112" s="70"/>
      <c r="E112" s="93"/>
      <c r="F112" s="93"/>
      <c r="G112" s="53"/>
    </row>
    <row r="113" spans="1:7" x14ac:dyDescent="0.25">
      <c r="A113" s="77" t="s">
        <v>478</v>
      </c>
      <c r="B113" s="100" t="s">
        <v>471</v>
      </c>
      <c r="C113" s="133">
        <f>'Steel Schedule'!C293</f>
        <v>3.972973219</v>
      </c>
      <c r="D113" s="70" t="s">
        <v>472</v>
      </c>
      <c r="E113" s="93">
        <f>((1965.63*1.2)*1.3*0.86)*1.44</f>
        <v>3797.4084595199997</v>
      </c>
      <c r="F113" s="93">
        <f>C113*E113</f>
        <v>15087.002111277005</v>
      </c>
      <c r="G113" s="53" t="s">
        <v>918</v>
      </c>
    </row>
    <row r="114" spans="1:7" x14ac:dyDescent="0.25">
      <c r="A114" s="77"/>
      <c r="B114" s="52"/>
      <c r="C114" s="71"/>
      <c r="D114" s="70"/>
      <c r="E114" s="93"/>
      <c r="F114" s="93"/>
      <c r="G114" s="53"/>
    </row>
    <row r="115" spans="1:7" x14ac:dyDescent="0.25">
      <c r="A115" s="77"/>
      <c r="B115" s="88" t="s">
        <v>87</v>
      </c>
      <c r="C115" s="71"/>
      <c r="D115" s="70"/>
      <c r="E115" s="93"/>
      <c r="F115" s="93"/>
      <c r="G115" s="53"/>
    </row>
    <row r="116" spans="1:7" x14ac:dyDescent="0.25">
      <c r="A116" s="77" t="s">
        <v>480</v>
      </c>
      <c r="B116" s="88" t="s">
        <v>479</v>
      </c>
      <c r="C116" s="71">
        <f>(C107+C110+C113)*0.2</f>
        <v>15.783826643800001</v>
      </c>
      <c r="D116" s="70" t="s">
        <v>472</v>
      </c>
      <c r="E116" s="93">
        <f>((2284.75*1.2)*1.3*0.86)*1.44</f>
        <v>4413.9176639999996</v>
      </c>
      <c r="F116" s="93">
        <f>C116*E116</f>
        <v>69668.511228582662</v>
      </c>
      <c r="G116" s="53" t="s">
        <v>1248</v>
      </c>
    </row>
    <row r="117" spans="1:7" x14ac:dyDescent="0.25">
      <c r="A117" s="77"/>
      <c r="B117" s="52"/>
      <c r="C117" s="71"/>
      <c r="D117" s="70"/>
      <c r="E117" s="93"/>
      <c r="F117" s="93"/>
      <c r="G117" s="53"/>
    </row>
    <row r="118" spans="1:7" s="3" customFormat="1" x14ac:dyDescent="0.25">
      <c r="A118" s="79" t="s">
        <v>95</v>
      </c>
      <c r="B118" s="3" t="s">
        <v>88</v>
      </c>
      <c r="C118" s="160"/>
      <c r="D118" s="117"/>
      <c r="E118" s="121"/>
      <c r="F118" s="121"/>
      <c r="G118" s="115"/>
    </row>
    <row r="119" spans="1:7" x14ac:dyDescent="0.25">
      <c r="A119" s="77" t="s">
        <v>848</v>
      </c>
      <c r="B119" s="88" t="s">
        <v>812</v>
      </c>
      <c r="C119" s="71">
        <f>C107+C110+C113+C116</f>
        <v>94.7029598628</v>
      </c>
      <c r="D119" s="70" t="s">
        <v>472</v>
      </c>
      <c r="E119" s="93">
        <f>((249.75*1.2)*1.3*0.86)*1.44</f>
        <v>482.49302399999993</v>
      </c>
      <c r="F119" s="93">
        <f>C119*E119</f>
        <v>45693.517485952994</v>
      </c>
      <c r="G119" s="53" t="s">
        <v>1249</v>
      </c>
    </row>
    <row r="120" spans="1:7" x14ac:dyDescent="0.25">
      <c r="A120" s="77"/>
      <c r="B120" s="88"/>
      <c r="C120" s="55"/>
      <c r="D120" s="70"/>
      <c r="E120" s="93"/>
      <c r="F120" s="93"/>
      <c r="G120" s="53"/>
    </row>
    <row r="121" spans="1:7" x14ac:dyDescent="0.25">
      <c r="A121" s="77"/>
      <c r="B121" s="88"/>
      <c r="C121" s="55"/>
      <c r="D121" s="70"/>
      <c r="E121" s="55"/>
      <c r="F121" s="93"/>
      <c r="G121" s="53"/>
    </row>
    <row r="122" spans="1:7" s="3" customFormat="1" x14ac:dyDescent="0.25">
      <c r="A122" s="85"/>
      <c r="B122" s="11" t="s">
        <v>7</v>
      </c>
      <c r="C122" s="12"/>
      <c r="D122" s="38"/>
      <c r="E122" s="12"/>
      <c r="F122" s="33">
        <f>SUM(F105:F121)</f>
        <v>385521.38241993927</v>
      </c>
      <c r="G122" s="37"/>
    </row>
    <row r="123" spans="1:7" x14ac:dyDescent="0.25">
      <c r="A123" s="129"/>
      <c r="F123" s="81"/>
      <c r="G123" s="130"/>
    </row>
    <row r="124" spans="1:7" s="65" customFormat="1" ht="13.8" x14ac:dyDescent="0.25">
      <c r="A124" s="78">
        <v>15.5</v>
      </c>
      <c r="B124" s="57" t="s">
        <v>96</v>
      </c>
      <c r="C124" s="68" t="s">
        <v>0</v>
      </c>
      <c r="D124" s="68" t="s">
        <v>5</v>
      </c>
      <c r="E124" s="68" t="s">
        <v>10</v>
      </c>
      <c r="F124" s="69" t="s">
        <v>6</v>
      </c>
      <c r="G124" s="66"/>
    </row>
    <row r="125" spans="1:7" s="3" customFormat="1" x14ac:dyDescent="0.25">
      <c r="A125" s="79" t="s">
        <v>99</v>
      </c>
      <c r="B125" s="3" t="s">
        <v>97</v>
      </c>
      <c r="C125" s="116"/>
      <c r="D125" s="117"/>
      <c r="E125" s="121"/>
      <c r="F125" s="116"/>
      <c r="G125" s="115"/>
    </row>
    <row r="126" spans="1:7" x14ac:dyDescent="0.25">
      <c r="A126" s="77"/>
      <c r="B126" s="88" t="s">
        <v>98</v>
      </c>
      <c r="C126" s="55"/>
      <c r="D126" s="70"/>
      <c r="E126" s="93"/>
      <c r="F126" s="55"/>
      <c r="G126" s="53"/>
    </row>
    <row r="127" spans="1:7" x14ac:dyDescent="0.25">
      <c r="A127" s="77" t="s">
        <v>100</v>
      </c>
      <c r="B127" s="100" t="s">
        <v>813</v>
      </c>
      <c r="C127" s="133">
        <f>'Steel Schedule'!B114+'Steel Schedule'!B280+'Steel Schedule'!C294</f>
        <v>1626.9477093</v>
      </c>
      <c r="D127" s="70" t="s">
        <v>56</v>
      </c>
      <c r="E127" s="93">
        <f>(5.2*1.3*0.86)*1.44</f>
        <v>8.3715840000000004</v>
      </c>
      <c r="F127" s="94">
        <f>C127*E127</f>
        <v>13620.129412012531</v>
      </c>
      <c r="G127" s="53" t="s">
        <v>909</v>
      </c>
    </row>
    <row r="128" spans="1:7" x14ac:dyDescent="0.25">
      <c r="A128" s="77" t="s">
        <v>101</v>
      </c>
      <c r="B128" s="100" t="s">
        <v>814</v>
      </c>
      <c r="C128" s="133">
        <f>C127</f>
        <v>1626.9477093</v>
      </c>
      <c r="D128" s="70" t="s">
        <v>56</v>
      </c>
      <c r="E128" s="93">
        <f>(66.15*1.3*0.86)*1.44</f>
        <v>106.49620800000001</v>
      </c>
      <c r="F128" s="94">
        <f t="shared" ref="F128:F129" si="1">C128*E128</f>
        <v>173263.76165473636</v>
      </c>
      <c r="G128" s="53" t="s">
        <v>909</v>
      </c>
    </row>
    <row r="129" spans="1:7" x14ac:dyDescent="0.25">
      <c r="A129" s="77" t="s">
        <v>102</v>
      </c>
      <c r="B129" s="100" t="s">
        <v>815</v>
      </c>
      <c r="C129" s="133">
        <f>C127</f>
        <v>1626.9477093</v>
      </c>
      <c r="D129" s="70" t="s">
        <v>56</v>
      </c>
      <c r="E129" s="93">
        <f>(4.13*1.3*0.86)*1.44</f>
        <v>6.6489695999999991</v>
      </c>
      <c r="F129" s="94">
        <f t="shared" si="1"/>
        <v>10817.525859925336</v>
      </c>
      <c r="G129" s="53" t="s">
        <v>909</v>
      </c>
    </row>
    <row r="130" spans="1:7" x14ac:dyDescent="0.25">
      <c r="A130" s="77"/>
      <c r="B130" s="53"/>
      <c r="C130" s="89"/>
      <c r="D130" s="70"/>
      <c r="E130" s="93"/>
      <c r="F130" s="55"/>
      <c r="G130" s="53"/>
    </row>
    <row r="131" spans="1:7" x14ac:dyDescent="0.25">
      <c r="A131" s="77"/>
      <c r="B131" s="52"/>
      <c r="C131" s="55"/>
      <c r="D131" s="70"/>
      <c r="E131" s="93"/>
      <c r="F131" s="55"/>
      <c r="G131" s="53"/>
    </row>
    <row r="132" spans="1:7" s="3" customFormat="1" x14ac:dyDescent="0.25">
      <c r="A132" s="85"/>
      <c r="B132" s="11" t="s">
        <v>7</v>
      </c>
      <c r="C132" s="12"/>
      <c r="D132" s="38"/>
      <c r="E132" s="12"/>
      <c r="F132" s="33">
        <f>SUM(F125:F131)</f>
        <v>197701.41692667422</v>
      </c>
      <c r="G132" s="37"/>
    </row>
    <row r="133" spans="1:7" x14ac:dyDescent="0.25">
      <c r="A133" s="129"/>
      <c r="F133" s="81"/>
      <c r="G133" s="130"/>
    </row>
    <row r="134" spans="1:7" s="65" customFormat="1" ht="13.8" x14ac:dyDescent="0.25">
      <c r="A134" s="78">
        <v>15.6</v>
      </c>
      <c r="B134" s="57" t="s">
        <v>698</v>
      </c>
      <c r="C134" s="68" t="s">
        <v>0</v>
      </c>
      <c r="D134" s="68" t="s">
        <v>5</v>
      </c>
      <c r="E134" s="68" t="s">
        <v>10</v>
      </c>
      <c r="F134" s="69" t="s">
        <v>6</v>
      </c>
      <c r="G134" s="66"/>
    </row>
    <row r="135" spans="1:7" s="3" customFormat="1" x14ac:dyDescent="0.25">
      <c r="A135" s="79" t="s">
        <v>700</v>
      </c>
      <c r="B135" s="3" t="s">
        <v>699</v>
      </c>
      <c r="C135" s="116"/>
      <c r="D135" s="117"/>
      <c r="E135" s="121"/>
      <c r="F135" s="116"/>
      <c r="G135" s="115"/>
    </row>
    <row r="136" spans="1:7" x14ac:dyDescent="0.25">
      <c r="A136" s="77" t="s">
        <v>701</v>
      </c>
      <c r="B136" s="100" t="s">
        <v>816</v>
      </c>
      <c r="C136" s="133">
        <v>181</v>
      </c>
      <c r="D136" s="70" t="s">
        <v>1</v>
      </c>
      <c r="E136" s="93">
        <f>(64.96*1.3*0.86)*1.44</f>
        <v>104.58040319999998</v>
      </c>
      <c r="F136" s="94">
        <f>C136*E136</f>
        <v>18929.052979199994</v>
      </c>
      <c r="G136" s="53" t="s">
        <v>919</v>
      </c>
    </row>
    <row r="137" spans="1:7" x14ac:dyDescent="0.25">
      <c r="A137" s="92"/>
      <c r="B137" s="52"/>
      <c r="C137" s="55"/>
      <c r="D137" s="70"/>
      <c r="E137" s="93"/>
      <c r="F137" s="55"/>
      <c r="G137" s="53"/>
    </row>
    <row r="138" spans="1:7" x14ac:dyDescent="0.25">
      <c r="A138" s="77"/>
      <c r="B138" s="52"/>
      <c r="C138" s="55"/>
      <c r="D138" s="70"/>
      <c r="E138" s="93"/>
      <c r="F138" s="55"/>
      <c r="G138" s="53"/>
    </row>
    <row r="139" spans="1:7" s="3" customFormat="1" x14ac:dyDescent="0.25">
      <c r="A139" s="85"/>
      <c r="B139" s="11" t="s">
        <v>7</v>
      </c>
      <c r="C139" s="12"/>
      <c r="D139" s="38"/>
      <c r="E139" s="12"/>
      <c r="F139" s="33">
        <f>SUM(F135:F138)</f>
        <v>18929.052979199994</v>
      </c>
      <c r="G139" s="37"/>
    </row>
    <row r="140" spans="1:7" s="3" customFormat="1" ht="13.8" thickBot="1" x14ac:dyDescent="0.3">
      <c r="A140" s="107"/>
      <c r="B140" s="39"/>
      <c r="C140" s="108"/>
      <c r="D140" s="109"/>
      <c r="E140" s="108"/>
      <c r="F140" s="110"/>
      <c r="G140" s="111"/>
    </row>
    <row r="141" spans="1:7" s="3" customFormat="1" ht="13.8" thickBot="1" x14ac:dyDescent="0.3">
      <c r="A141" s="150"/>
      <c r="B141" s="151" t="s">
        <v>759</v>
      </c>
      <c r="C141" s="152"/>
      <c r="D141" s="153"/>
      <c r="E141" s="152"/>
      <c r="F141" s="154">
        <f>F122+F132+F139</f>
        <v>602151.8523258135</v>
      </c>
      <c r="G141" s="155"/>
    </row>
    <row r="142" spans="1:7" x14ac:dyDescent="0.25">
      <c r="A142" s="129"/>
      <c r="F142" s="81"/>
      <c r="G142" s="130"/>
    </row>
    <row r="143" spans="1:7" s="63" customFormat="1" ht="15.6" x14ac:dyDescent="0.3">
      <c r="A143" s="75" t="s">
        <v>746</v>
      </c>
      <c r="B143" s="40" t="s">
        <v>747</v>
      </c>
      <c r="C143" s="59"/>
      <c r="D143" s="60"/>
      <c r="E143" s="59"/>
      <c r="F143" s="61"/>
      <c r="G143" s="62"/>
    </row>
    <row r="144" spans="1:7" s="65" customFormat="1" ht="13.8" x14ac:dyDescent="0.25">
      <c r="A144" s="78">
        <v>16.3</v>
      </c>
      <c r="B144" s="57" t="s">
        <v>748</v>
      </c>
      <c r="C144" s="68" t="s">
        <v>0</v>
      </c>
      <c r="D144" s="68" t="s">
        <v>5</v>
      </c>
      <c r="E144" s="68" t="s">
        <v>10</v>
      </c>
      <c r="F144" s="69" t="s">
        <v>6</v>
      </c>
      <c r="G144" s="66"/>
    </row>
    <row r="145" spans="1:7" x14ac:dyDescent="0.25">
      <c r="A145" s="77"/>
      <c r="B145" s="3" t="s">
        <v>749</v>
      </c>
      <c r="C145" s="55"/>
      <c r="D145" s="70"/>
      <c r="E145" s="93"/>
      <c r="F145" s="55"/>
      <c r="G145" s="53"/>
    </row>
    <row r="146" spans="1:7" s="3" customFormat="1" x14ac:dyDescent="0.25">
      <c r="A146" s="79" t="s">
        <v>751</v>
      </c>
      <c r="B146" s="159" t="s">
        <v>750</v>
      </c>
      <c r="C146" s="108"/>
      <c r="D146" s="117"/>
      <c r="E146" s="121"/>
      <c r="F146" s="116"/>
      <c r="G146" s="115"/>
    </row>
    <row r="147" spans="1:7" x14ac:dyDescent="0.25">
      <c r="A147" s="77"/>
      <c r="B147" s="100" t="s">
        <v>752</v>
      </c>
      <c r="D147" s="70"/>
      <c r="E147" s="93"/>
      <c r="F147" s="55"/>
      <c r="G147" s="53"/>
    </row>
    <row r="148" spans="1:7" x14ac:dyDescent="0.25">
      <c r="A148" s="77" t="s">
        <v>754</v>
      </c>
      <c r="B148" s="100" t="s">
        <v>753</v>
      </c>
      <c r="C148" s="91">
        <v>401.18</v>
      </c>
      <c r="D148" s="70" t="s">
        <v>56</v>
      </c>
      <c r="E148" s="93">
        <f>(35.05*1.3*0.86)*1.44</f>
        <v>56.42769599999999</v>
      </c>
      <c r="F148" s="94">
        <f>C148*E148</f>
        <v>22637.663081279996</v>
      </c>
      <c r="G148" s="53"/>
    </row>
    <row r="149" spans="1:7" x14ac:dyDescent="0.25">
      <c r="A149" s="77"/>
      <c r="B149" s="100"/>
      <c r="D149" s="70"/>
      <c r="E149" s="93"/>
      <c r="F149" s="55"/>
      <c r="G149" s="53"/>
    </row>
    <row r="150" spans="1:7" x14ac:dyDescent="0.25">
      <c r="A150" s="77"/>
      <c r="B150" s="52"/>
      <c r="C150" s="55"/>
      <c r="D150" s="70"/>
      <c r="E150" s="93"/>
      <c r="F150" s="55"/>
      <c r="G150" s="53"/>
    </row>
    <row r="151" spans="1:7" s="3" customFormat="1" x14ac:dyDescent="0.25">
      <c r="A151" s="85"/>
      <c r="B151" s="11" t="s">
        <v>7</v>
      </c>
      <c r="C151" s="12"/>
      <c r="D151" s="38"/>
      <c r="E151" s="12"/>
      <c r="F151" s="33">
        <f>SUM(F145:F150)</f>
        <v>22637.663081279996</v>
      </c>
      <c r="G151" s="37"/>
    </row>
    <row r="152" spans="1:7" s="3" customFormat="1" ht="13.8" thickBot="1" x14ac:dyDescent="0.3">
      <c r="A152" s="107"/>
      <c r="B152" s="39"/>
      <c r="C152" s="108"/>
      <c r="D152" s="109"/>
      <c r="E152" s="108"/>
      <c r="F152" s="110"/>
      <c r="G152" s="111"/>
    </row>
    <row r="153" spans="1:7" s="3" customFormat="1" ht="13.8" thickBot="1" x14ac:dyDescent="0.3">
      <c r="A153" s="150"/>
      <c r="B153" s="151" t="s">
        <v>759</v>
      </c>
      <c r="C153" s="152"/>
      <c r="D153" s="153"/>
      <c r="E153" s="152"/>
      <c r="F153" s="154">
        <f>F151</f>
        <v>22637.663081279996</v>
      </c>
      <c r="G153" s="155"/>
    </row>
    <row r="154" spans="1:7" x14ac:dyDescent="0.25">
      <c r="A154" s="129"/>
      <c r="F154" s="81"/>
      <c r="G154" s="130"/>
    </row>
    <row r="155" spans="1:7" s="63" customFormat="1" ht="15.6" x14ac:dyDescent="0.3">
      <c r="A155" s="75" t="s">
        <v>103</v>
      </c>
      <c r="B155" s="40" t="s">
        <v>106</v>
      </c>
      <c r="C155" s="59"/>
      <c r="D155" s="60"/>
      <c r="E155" s="59"/>
      <c r="F155" s="61"/>
      <c r="G155" s="62"/>
    </row>
    <row r="156" spans="1:7" s="65" customFormat="1" ht="13.8" x14ac:dyDescent="0.25">
      <c r="A156" s="78">
        <v>17.100000000000001</v>
      </c>
      <c r="B156" s="57" t="s">
        <v>711</v>
      </c>
      <c r="C156" s="68" t="s">
        <v>0</v>
      </c>
      <c r="D156" s="68" t="s">
        <v>5</v>
      </c>
      <c r="E156" s="68" t="s">
        <v>10</v>
      </c>
      <c r="F156" s="69" t="s">
        <v>6</v>
      </c>
      <c r="G156" s="66"/>
    </row>
    <row r="157" spans="1:7" x14ac:dyDescent="0.25">
      <c r="A157" s="113"/>
      <c r="B157" s="3" t="s">
        <v>714</v>
      </c>
      <c r="C157" s="55"/>
      <c r="D157" s="70"/>
      <c r="E157" s="93"/>
      <c r="F157" s="55"/>
      <c r="G157" s="53"/>
    </row>
    <row r="158" spans="1:7" s="3" customFormat="1" x14ac:dyDescent="0.25">
      <c r="A158" s="79" t="s">
        <v>713</v>
      </c>
      <c r="B158" s="3" t="s">
        <v>712</v>
      </c>
      <c r="C158" s="116"/>
      <c r="D158" s="117"/>
      <c r="E158" s="121"/>
      <c r="F158" s="116"/>
      <c r="G158" s="115"/>
    </row>
    <row r="159" spans="1:7" x14ac:dyDescent="0.25">
      <c r="A159" s="77"/>
      <c r="B159" s="88" t="s">
        <v>715</v>
      </c>
      <c r="C159" s="55"/>
      <c r="D159" s="70"/>
      <c r="E159" s="93"/>
      <c r="F159" s="94"/>
      <c r="G159" s="53"/>
    </row>
    <row r="160" spans="1:7" x14ac:dyDescent="0.25">
      <c r="A160" s="77" t="s">
        <v>817</v>
      </c>
      <c r="B160" s="88" t="s">
        <v>716</v>
      </c>
      <c r="C160" s="71">
        <f>(46.62*1.1)</f>
        <v>51.282000000000004</v>
      </c>
      <c r="D160" s="70" t="s">
        <v>56</v>
      </c>
      <c r="E160" s="93">
        <f>(69.56*1.3*0.86)*1.44</f>
        <v>111.98603520000002</v>
      </c>
      <c r="F160" s="94">
        <f>C160*E160</f>
        <v>5742.8678571264018</v>
      </c>
      <c r="G160" s="53"/>
    </row>
    <row r="161" spans="1:7" x14ac:dyDescent="0.25">
      <c r="A161" s="77"/>
      <c r="B161" s="52"/>
      <c r="C161" s="55"/>
      <c r="D161" s="70"/>
      <c r="E161" s="93"/>
      <c r="F161" s="55"/>
      <c r="G161" s="53"/>
    </row>
    <row r="162" spans="1:7" x14ac:dyDescent="0.25">
      <c r="A162" s="77"/>
      <c r="B162" s="52"/>
      <c r="C162" s="55"/>
      <c r="D162" s="70"/>
      <c r="E162" s="93"/>
      <c r="F162" s="55"/>
      <c r="G162" s="53"/>
    </row>
    <row r="163" spans="1:7" s="3" customFormat="1" x14ac:dyDescent="0.25">
      <c r="A163" s="85"/>
      <c r="B163" s="11" t="s">
        <v>7</v>
      </c>
      <c r="C163" s="12"/>
      <c r="D163" s="38"/>
      <c r="E163" s="12"/>
      <c r="F163" s="33">
        <f>SUM(F157:F162)</f>
        <v>5742.8678571264018</v>
      </c>
      <c r="G163" s="37"/>
    </row>
    <row r="164" spans="1:7" x14ac:dyDescent="0.25">
      <c r="A164" s="129"/>
      <c r="F164" s="81"/>
      <c r="G164" s="130"/>
    </row>
    <row r="165" spans="1:7" s="65" customFormat="1" ht="13.8" x14ac:dyDescent="0.25">
      <c r="A165" s="78">
        <v>17.3</v>
      </c>
      <c r="B165" s="57" t="s">
        <v>109</v>
      </c>
      <c r="C165" s="68" t="s">
        <v>0</v>
      </c>
      <c r="D165" s="68" t="s">
        <v>5</v>
      </c>
      <c r="E165" s="68" t="s">
        <v>10</v>
      </c>
      <c r="F165" s="69" t="s">
        <v>6</v>
      </c>
      <c r="G165" s="66"/>
    </row>
    <row r="166" spans="1:7" s="3" customFormat="1" ht="26.4" x14ac:dyDescent="0.25">
      <c r="A166" s="79" t="s">
        <v>110</v>
      </c>
      <c r="B166" s="87" t="s">
        <v>717</v>
      </c>
      <c r="C166" s="117"/>
      <c r="D166" s="117"/>
      <c r="E166" s="117"/>
      <c r="F166" s="161"/>
      <c r="G166" s="115"/>
    </row>
    <row r="167" spans="1:7" x14ac:dyDescent="0.25">
      <c r="A167" s="77"/>
      <c r="B167" s="88" t="s">
        <v>718</v>
      </c>
      <c r="C167" s="70"/>
      <c r="D167" s="70"/>
      <c r="E167" s="70"/>
      <c r="F167" s="134"/>
      <c r="G167" s="53"/>
    </row>
    <row r="168" spans="1:7" x14ac:dyDescent="0.25">
      <c r="A168" s="77" t="s">
        <v>765</v>
      </c>
      <c r="B168" s="88" t="s">
        <v>719</v>
      </c>
      <c r="C168" s="71">
        <f>(46.62*1.1)</f>
        <v>51.282000000000004</v>
      </c>
      <c r="D168" s="70" t="s">
        <v>56</v>
      </c>
      <c r="E168" s="174">
        <f>(35.95*1.3*0.86)*1.44</f>
        <v>57.876624</v>
      </c>
      <c r="F168" s="134">
        <f>C168*E168</f>
        <v>2968.0290319680003</v>
      </c>
      <c r="G168" s="53" t="s">
        <v>1250</v>
      </c>
    </row>
    <row r="169" spans="1:7" x14ac:dyDescent="0.25">
      <c r="A169" s="77"/>
      <c r="C169" s="70"/>
      <c r="D169" s="70"/>
      <c r="E169" s="70"/>
      <c r="F169" s="134"/>
      <c r="G169" s="53"/>
    </row>
    <row r="170" spans="1:7" s="3" customFormat="1" x14ac:dyDescent="0.25">
      <c r="A170" s="79" t="s">
        <v>766</v>
      </c>
      <c r="B170" s="3" t="s">
        <v>107</v>
      </c>
      <c r="C170" s="116"/>
      <c r="D170" s="117"/>
      <c r="E170" s="121"/>
      <c r="F170" s="116"/>
      <c r="G170" s="115"/>
    </row>
    <row r="171" spans="1:7" ht="39.6" x14ac:dyDescent="0.25">
      <c r="A171" s="77"/>
      <c r="B171" s="84" t="s">
        <v>108</v>
      </c>
      <c r="C171" s="55"/>
      <c r="D171" s="70"/>
      <c r="E171" s="93"/>
      <c r="F171" s="55"/>
      <c r="G171" s="53"/>
    </row>
    <row r="172" spans="1:7" x14ac:dyDescent="0.25">
      <c r="A172" s="77" t="s">
        <v>767</v>
      </c>
      <c r="B172" s="88" t="s">
        <v>719</v>
      </c>
      <c r="C172" s="55">
        <v>291.29000000000002</v>
      </c>
      <c r="D172" s="70" t="s">
        <v>56</v>
      </c>
      <c r="E172" s="93">
        <f>(146.38*1.3*0.86)*1.44</f>
        <v>235.66008959999999</v>
      </c>
      <c r="F172" s="94">
        <f>C172*E172</f>
        <v>68645.42749958401</v>
      </c>
      <c r="G172" s="53"/>
    </row>
    <row r="173" spans="1:7" x14ac:dyDescent="0.25">
      <c r="A173" s="77"/>
      <c r="B173" s="52"/>
      <c r="C173" s="55"/>
      <c r="D173" s="70"/>
      <c r="E173" s="93"/>
      <c r="F173" s="55"/>
      <c r="G173" s="53"/>
    </row>
    <row r="174" spans="1:7" x14ac:dyDescent="0.25">
      <c r="A174" s="77"/>
      <c r="B174" s="88" t="s">
        <v>111</v>
      </c>
      <c r="C174" s="55"/>
      <c r="D174" s="70"/>
      <c r="E174" s="93"/>
      <c r="F174" s="55"/>
      <c r="G174" s="53"/>
    </row>
    <row r="175" spans="1:7" x14ac:dyDescent="0.25">
      <c r="A175" s="77" t="s">
        <v>768</v>
      </c>
      <c r="B175" s="88" t="s">
        <v>112</v>
      </c>
      <c r="C175" s="55">
        <v>69.989999999999995</v>
      </c>
      <c r="D175" s="70" t="s">
        <v>1</v>
      </c>
      <c r="E175" s="93">
        <f>(36.25*1.3*0.86)*1.44</f>
        <v>58.359599999999993</v>
      </c>
      <c r="F175" s="94">
        <f>C175*E175</f>
        <v>4084.5884039999992</v>
      </c>
      <c r="G175" s="53" t="s">
        <v>1251</v>
      </c>
    </row>
    <row r="176" spans="1:7" x14ac:dyDescent="0.25">
      <c r="A176" s="77"/>
      <c r="B176" s="52"/>
      <c r="C176" s="55"/>
      <c r="D176" s="70"/>
      <c r="E176" s="93"/>
      <c r="F176" s="55"/>
      <c r="G176" s="53"/>
    </row>
    <row r="177" spans="1:7" x14ac:dyDescent="0.25">
      <c r="A177" s="77"/>
      <c r="B177" s="52"/>
      <c r="C177" s="55"/>
      <c r="D177" s="70"/>
      <c r="E177" s="93"/>
      <c r="F177" s="55"/>
      <c r="G177" s="53"/>
    </row>
    <row r="178" spans="1:7" s="3" customFormat="1" x14ac:dyDescent="0.25">
      <c r="A178" s="85"/>
      <c r="B178" s="11" t="s">
        <v>7</v>
      </c>
      <c r="C178" s="12"/>
      <c r="D178" s="38"/>
      <c r="E178" s="12"/>
      <c r="F178" s="33">
        <f>SUM(F166:F177)</f>
        <v>75698.04493555201</v>
      </c>
      <c r="G178" s="37"/>
    </row>
    <row r="179" spans="1:7" x14ac:dyDescent="0.25">
      <c r="E179" s="98"/>
    </row>
    <row r="180" spans="1:7" s="65" customFormat="1" ht="13.8" x14ac:dyDescent="0.25">
      <c r="A180" s="78">
        <v>17.600000000000001</v>
      </c>
      <c r="B180" s="57" t="s">
        <v>113</v>
      </c>
      <c r="C180" s="68" t="s">
        <v>0</v>
      </c>
      <c r="D180" s="68" t="s">
        <v>5</v>
      </c>
      <c r="E180" s="68" t="s">
        <v>10</v>
      </c>
      <c r="F180" s="69" t="s">
        <v>6</v>
      </c>
      <c r="G180" s="66"/>
    </row>
    <row r="181" spans="1:7" s="3" customFormat="1" x14ac:dyDescent="0.25">
      <c r="A181" s="79" t="s">
        <v>115</v>
      </c>
      <c r="B181" s="3" t="s">
        <v>114</v>
      </c>
      <c r="C181" s="116"/>
      <c r="D181" s="117"/>
      <c r="E181" s="121"/>
      <c r="F181" s="116"/>
      <c r="G181" s="115"/>
    </row>
    <row r="182" spans="1:7" ht="93.6" customHeight="1" x14ac:dyDescent="0.25">
      <c r="A182" s="77"/>
      <c r="B182" s="84" t="s">
        <v>116</v>
      </c>
      <c r="C182" s="55"/>
      <c r="D182" s="70"/>
      <c r="E182" s="93"/>
      <c r="F182" s="55"/>
      <c r="G182" s="53"/>
    </row>
    <row r="183" spans="1:7" ht="26.4" x14ac:dyDescent="0.25">
      <c r="A183" s="77" t="s">
        <v>117</v>
      </c>
      <c r="B183" s="84" t="s">
        <v>818</v>
      </c>
      <c r="C183" s="71">
        <v>1644.3</v>
      </c>
      <c r="D183" s="70" t="s">
        <v>56</v>
      </c>
      <c r="E183" s="93">
        <f>(66.51*1.3*0.86)*1.44</f>
        <v>107.0757792</v>
      </c>
      <c r="F183" s="94">
        <f>C183*E183</f>
        <v>176064.70373856</v>
      </c>
      <c r="G183" s="53" t="s">
        <v>1252</v>
      </c>
    </row>
    <row r="184" spans="1:7" x14ac:dyDescent="0.25">
      <c r="A184" s="77"/>
      <c r="B184" s="52"/>
      <c r="C184" s="55"/>
      <c r="D184" s="70"/>
      <c r="E184" s="93"/>
      <c r="F184" s="55"/>
      <c r="G184" s="53"/>
    </row>
    <row r="185" spans="1:7" x14ac:dyDescent="0.25">
      <c r="A185" s="77"/>
      <c r="B185" s="88" t="s">
        <v>118</v>
      </c>
      <c r="C185" s="55"/>
      <c r="D185" s="70"/>
      <c r="E185" s="93"/>
      <c r="F185" s="55"/>
      <c r="G185" s="53"/>
    </row>
    <row r="186" spans="1:7" ht="39.6" x14ac:dyDescent="0.25">
      <c r="A186" s="77" t="s">
        <v>120</v>
      </c>
      <c r="B186" s="84" t="s">
        <v>119</v>
      </c>
      <c r="C186" s="55">
        <v>326.14999999999998</v>
      </c>
      <c r="D186" s="70" t="s">
        <v>1</v>
      </c>
      <c r="E186" s="93">
        <f>(21.56*1.3*0.86)*1.44</f>
        <v>34.709875199999999</v>
      </c>
      <c r="F186" s="94">
        <f>C186*E186</f>
        <v>11320.625796479999</v>
      </c>
      <c r="G186" s="53"/>
    </row>
    <row r="187" spans="1:7" x14ac:dyDescent="0.25">
      <c r="A187" s="77"/>
      <c r="B187" s="52"/>
      <c r="C187" s="55"/>
      <c r="D187" s="70"/>
      <c r="E187" s="93"/>
      <c r="F187" s="55"/>
      <c r="G187" s="53"/>
    </row>
    <row r="188" spans="1:7" x14ac:dyDescent="0.25">
      <c r="A188" s="77"/>
      <c r="B188" s="88" t="s">
        <v>709</v>
      </c>
      <c r="C188" s="55"/>
      <c r="D188" s="70"/>
      <c r="E188" s="93"/>
      <c r="F188" s="55"/>
      <c r="G188" s="53"/>
    </row>
    <row r="189" spans="1:7" ht="40.200000000000003" customHeight="1" x14ac:dyDescent="0.25">
      <c r="A189" s="77" t="s">
        <v>769</v>
      </c>
      <c r="B189" s="84" t="s">
        <v>710</v>
      </c>
      <c r="C189" s="55">
        <v>326.14999999999998</v>
      </c>
      <c r="D189" s="70" t="s">
        <v>1</v>
      </c>
      <c r="E189" s="93">
        <f>((17.58*1.25)*1.3*0.86)*1.44</f>
        <v>35.377991999999999</v>
      </c>
      <c r="F189" s="94">
        <f>C189*E189</f>
        <v>11538.532090799999</v>
      </c>
      <c r="G189" s="53"/>
    </row>
    <row r="190" spans="1:7" x14ac:dyDescent="0.25">
      <c r="A190" s="77"/>
      <c r="B190" s="52"/>
      <c r="C190" s="55"/>
      <c r="D190" s="70"/>
      <c r="E190" s="93"/>
      <c r="F190" s="55"/>
      <c r="G190" s="53"/>
    </row>
    <row r="191" spans="1:7" x14ac:dyDescent="0.25">
      <c r="A191" s="77"/>
      <c r="B191" s="52"/>
      <c r="C191" s="55"/>
      <c r="D191" s="70"/>
      <c r="E191" s="93"/>
      <c r="F191" s="55"/>
      <c r="G191" s="53"/>
    </row>
    <row r="192" spans="1:7" s="3" customFormat="1" x14ac:dyDescent="0.25">
      <c r="A192" s="85"/>
      <c r="B192" s="11" t="s">
        <v>7</v>
      </c>
      <c r="C192" s="12"/>
      <c r="D192" s="38"/>
      <c r="E192" s="12"/>
      <c r="F192" s="33">
        <f>SUM(F181:F191)</f>
        <v>198923.86162583999</v>
      </c>
      <c r="G192" s="37"/>
    </row>
    <row r="193" spans="1:7" s="3" customFormat="1" ht="13.8" thickBot="1" x14ac:dyDescent="0.3">
      <c r="A193" s="107"/>
      <c r="B193" s="39"/>
      <c r="C193" s="108"/>
      <c r="D193" s="109"/>
      <c r="E193" s="108"/>
      <c r="F193" s="110"/>
      <c r="G193" s="111"/>
    </row>
    <row r="194" spans="1:7" s="3" customFormat="1" ht="13.8" thickBot="1" x14ac:dyDescent="0.3">
      <c r="A194" s="150"/>
      <c r="B194" s="151" t="s">
        <v>759</v>
      </c>
      <c r="C194" s="152"/>
      <c r="D194" s="153"/>
      <c r="E194" s="152"/>
      <c r="F194" s="154">
        <f>F163+F178+F192</f>
        <v>280364.77441851841</v>
      </c>
      <c r="G194" s="155"/>
    </row>
    <row r="195" spans="1:7" x14ac:dyDescent="0.25">
      <c r="E195" s="98"/>
    </row>
    <row r="196" spans="1:7" s="63" customFormat="1" ht="15.6" x14ac:dyDescent="0.3">
      <c r="A196" s="73">
        <v>19</v>
      </c>
      <c r="B196" s="40" t="s">
        <v>121</v>
      </c>
      <c r="C196" s="59"/>
      <c r="D196" s="60"/>
      <c r="E196" s="162"/>
      <c r="F196" s="59"/>
      <c r="G196" s="40"/>
    </row>
    <row r="197" spans="1:7" s="65" customFormat="1" ht="13.8" x14ac:dyDescent="0.25">
      <c r="A197" s="78">
        <v>19.5</v>
      </c>
      <c r="B197" s="57" t="s">
        <v>122</v>
      </c>
      <c r="C197" s="68" t="s">
        <v>0</v>
      </c>
      <c r="D197" s="68" t="s">
        <v>5</v>
      </c>
      <c r="E197" s="68" t="s">
        <v>10</v>
      </c>
      <c r="F197" s="69" t="s">
        <v>6</v>
      </c>
      <c r="G197" s="66"/>
    </row>
    <row r="198" spans="1:7" s="3" customFormat="1" x14ac:dyDescent="0.25">
      <c r="A198" s="79" t="s">
        <v>124</v>
      </c>
      <c r="B198" s="3" t="s">
        <v>123</v>
      </c>
      <c r="C198" s="116"/>
      <c r="D198" s="117"/>
      <c r="E198" s="121"/>
      <c r="F198" s="116"/>
      <c r="G198" s="115"/>
    </row>
    <row r="199" spans="1:7" ht="26.4" x14ac:dyDescent="0.25">
      <c r="A199" s="77"/>
      <c r="B199" s="84" t="s">
        <v>125</v>
      </c>
      <c r="C199" s="55"/>
      <c r="D199" s="70"/>
      <c r="E199" s="93"/>
      <c r="F199" s="55"/>
      <c r="G199" s="53"/>
    </row>
    <row r="200" spans="1:7" x14ac:dyDescent="0.25">
      <c r="A200" s="77" t="s">
        <v>126</v>
      </c>
      <c r="B200" s="88" t="s">
        <v>819</v>
      </c>
      <c r="C200" s="55">
        <v>269.01</v>
      </c>
      <c r="D200" s="70" t="s">
        <v>56</v>
      </c>
      <c r="E200" s="93">
        <f>(71.45*1.3*0.86)*1.44</f>
        <v>115.028784</v>
      </c>
      <c r="F200" s="94">
        <f>C200*E200</f>
        <v>30943.893183839999</v>
      </c>
      <c r="G200" s="53"/>
    </row>
    <row r="201" spans="1:7" x14ac:dyDescent="0.25">
      <c r="A201" s="77"/>
      <c r="B201" s="52"/>
      <c r="C201" s="55"/>
      <c r="D201" s="70"/>
      <c r="E201" s="93"/>
      <c r="F201" s="55"/>
      <c r="G201" s="53"/>
    </row>
    <row r="202" spans="1:7" x14ac:dyDescent="0.25">
      <c r="A202" s="77"/>
      <c r="B202" s="52"/>
      <c r="C202" s="55"/>
      <c r="D202" s="70"/>
      <c r="E202" s="93"/>
      <c r="F202" s="55"/>
      <c r="G202" s="53"/>
    </row>
    <row r="203" spans="1:7" s="3" customFormat="1" x14ac:dyDescent="0.25">
      <c r="A203" s="85"/>
      <c r="B203" s="11" t="s">
        <v>7</v>
      </c>
      <c r="C203" s="12"/>
      <c r="D203" s="38"/>
      <c r="E203" s="12"/>
      <c r="F203" s="33">
        <f>SUM(F198:F202)</f>
        <v>30943.893183839999</v>
      </c>
      <c r="G203" s="37"/>
    </row>
    <row r="204" spans="1:7" s="3" customFormat="1" ht="13.8" thickBot="1" x14ac:dyDescent="0.3">
      <c r="A204" s="107"/>
      <c r="B204" s="39"/>
      <c r="C204" s="108"/>
      <c r="D204" s="109"/>
      <c r="E204" s="108"/>
      <c r="F204" s="110"/>
      <c r="G204" s="111"/>
    </row>
    <row r="205" spans="1:7" s="3" customFormat="1" ht="13.8" thickBot="1" x14ac:dyDescent="0.3">
      <c r="A205" s="150"/>
      <c r="B205" s="151" t="s">
        <v>759</v>
      </c>
      <c r="C205" s="152"/>
      <c r="D205" s="153"/>
      <c r="E205" s="152"/>
      <c r="F205" s="154">
        <f>F203</f>
        <v>30943.893183839999</v>
      </c>
      <c r="G205" s="155"/>
    </row>
    <row r="206" spans="1:7" x14ac:dyDescent="0.25">
      <c r="E206" s="98"/>
    </row>
    <row r="207" spans="1:7" s="63" customFormat="1" ht="15.6" x14ac:dyDescent="0.3">
      <c r="A207" s="73">
        <v>20</v>
      </c>
      <c r="B207" s="40" t="s">
        <v>127</v>
      </c>
      <c r="C207" s="59"/>
      <c r="D207" s="60"/>
      <c r="E207" s="162"/>
      <c r="F207" s="59"/>
      <c r="G207" s="40"/>
    </row>
    <row r="208" spans="1:7" s="65" customFormat="1" ht="13.8" x14ac:dyDescent="0.25">
      <c r="A208" s="78">
        <v>20.100000000000001</v>
      </c>
      <c r="B208" s="57" t="s">
        <v>128</v>
      </c>
      <c r="C208" s="68" t="s">
        <v>0</v>
      </c>
      <c r="D208" s="68" t="s">
        <v>5</v>
      </c>
      <c r="E208" s="68" t="s">
        <v>10</v>
      </c>
      <c r="F208" s="69" t="s">
        <v>6</v>
      </c>
      <c r="G208" s="66"/>
    </row>
    <row r="209" spans="1:7" s="3" customFormat="1" ht="26.4" x14ac:dyDescent="0.25">
      <c r="A209" s="79" t="s">
        <v>130</v>
      </c>
      <c r="B209" s="87" t="s">
        <v>129</v>
      </c>
      <c r="C209" s="116"/>
      <c r="D209" s="117"/>
      <c r="E209" s="121"/>
      <c r="F209" s="116"/>
      <c r="G209" s="115"/>
    </row>
    <row r="210" spans="1:7" ht="39.6" x14ac:dyDescent="0.25">
      <c r="A210" s="77"/>
      <c r="B210" s="84" t="s">
        <v>1254</v>
      </c>
      <c r="C210" s="55"/>
      <c r="D210" s="70"/>
      <c r="E210" s="93"/>
      <c r="F210" s="55"/>
      <c r="G210" s="53"/>
    </row>
    <row r="211" spans="1:7" x14ac:dyDescent="0.25">
      <c r="A211" s="77" t="s">
        <v>131</v>
      </c>
      <c r="B211" s="88" t="s">
        <v>820</v>
      </c>
      <c r="C211" s="55">
        <v>321.18</v>
      </c>
      <c r="D211" s="70" t="s">
        <v>56</v>
      </c>
      <c r="E211" s="93">
        <f>((35.87*1.15)*1.3*0.86)*1.44</f>
        <v>66.410004959999995</v>
      </c>
      <c r="F211" s="94">
        <f>C211*E211</f>
        <v>21329.565393052799</v>
      </c>
      <c r="G211" s="53"/>
    </row>
    <row r="212" spans="1:7" x14ac:dyDescent="0.25">
      <c r="A212" s="77"/>
      <c r="B212" s="52"/>
      <c r="C212" s="55"/>
      <c r="D212" s="70"/>
      <c r="E212" s="93"/>
      <c r="F212" s="55"/>
      <c r="G212" s="53"/>
    </row>
    <row r="213" spans="1:7" s="3" customFormat="1" x14ac:dyDescent="0.25">
      <c r="A213" s="79" t="s">
        <v>133</v>
      </c>
      <c r="B213" s="3" t="s">
        <v>132</v>
      </c>
      <c r="C213" s="116"/>
      <c r="D213" s="117"/>
      <c r="E213" s="121"/>
      <c r="F213" s="116"/>
      <c r="G213" s="115"/>
    </row>
    <row r="214" spans="1:7" x14ac:dyDescent="0.25">
      <c r="A214" s="77"/>
      <c r="B214" s="88" t="s">
        <v>135</v>
      </c>
      <c r="C214" s="55"/>
      <c r="D214" s="70"/>
      <c r="E214" s="93"/>
      <c r="F214" s="55"/>
      <c r="G214" s="53"/>
    </row>
    <row r="215" spans="1:7" x14ac:dyDescent="0.25">
      <c r="A215" s="77" t="s">
        <v>134</v>
      </c>
      <c r="B215" s="88" t="s">
        <v>821</v>
      </c>
      <c r="C215" s="55">
        <v>93.56</v>
      </c>
      <c r="D215" s="70" t="s">
        <v>1</v>
      </c>
      <c r="E215" s="93">
        <f>(10.37*1.3*0.86)*1.44</f>
        <v>16.694870399999999</v>
      </c>
      <c r="F215" s="94">
        <f>C215*E215</f>
        <v>1561.972074624</v>
      </c>
      <c r="G215" s="53"/>
    </row>
    <row r="216" spans="1:7" x14ac:dyDescent="0.25">
      <c r="A216" s="77"/>
      <c r="B216" s="52"/>
      <c r="C216" s="55"/>
      <c r="D216" s="70"/>
      <c r="E216" s="93"/>
      <c r="F216" s="55"/>
      <c r="G216" s="53"/>
    </row>
    <row r="217" spans="1:7" x14ac:dyDescent="0.25">
      <c r="A217" s="77"/>
      <c r="B217" s="52"/>
      <c r="C217" s="55"/>
      <c r="D217" s="70"/>
      <c r="E217" s="93"/>
      <c r="F217" s="55"/>
      <c r="G217" s="53"/>
    </row>
    <row r="218" spans="1:7" s="3" customFormat="1" x14ac:dyDescent="0.25">
      <c r="A218" s="85"/>
      <c r="B218" s="11" t="s">
        <v>7</v>
      </c>
      <c r="C218" s="12"/>
      <c r="D218" s="38"/>
      <c r="E218" s="12"/>
      <c r="F218" s="33">
        <f>SUM(F209:F217)</f>
        <v>22891.537467676797</v>
      </c>
      <c r="G218" s="37"/>
    </row>
    <row r="219" spans="1:7" x14ac:dyDescent="0.25">
      <c r="E219" s="98"/>
    </row>
    <row r="220" spans="1:7" s="65" customFormat="1" ht="13.8" x14ac:dyDescent="0.25">
      <c r="A220" s="78">
        <v>20.2</v>
      </c>
      <c r="B220" s="57" t="s">
        <v>136</v>
      </c>
      <c r="C220" s="68" t="s">
        <v>0</v>
      </c>
      <c r="D220" s="68" t="s">
        <v>5</v>
      </c>
      <c r="E220" s="68" t="s">
        <v>10</v>
      </c>
      <c r="F220" s="69" t="s">
        <v>6</v>
      </c>
      <c r="G220" s="66"/>
    </row>
    <row r="221" spans="1:7" s="3" customFormat="1" ht="39.6" x14ac:dyDescent="0.25">
      <c r="A221" s="79" t="s">
        <v>138</v>
      </c>
      <c r="B221" s="87" t="s">
        <v>137</v>
      </c>
      <c r="C221" s="116"/>
      <c r="D221" s="117"/>
      <c r="E221" s="121"/>
      <c r="F221" s="116"/>
      <c r="G221" s="115"/>
    </row>
    <row r="222" spans="1:7" x14ac:dyDescent="0.25">
      <c r="A222" s="77"/>
      <c r="B222" s="88" t="s">
        <v>141</v>
      </c>
      <c r="C222" s="55"/>
      <c r="D222" s="70"/>
      <c r="E222" s="93"/>
      <c r="F222" s="55"/>
      <c r="G222" s="53"/>
    </row>
    <row r="223" spans="1:7" x14ac:dyDescent="0.25">
      <c r="A223" s="77" t="s">
        <v>140</v>
      </c>
      <c r="B223" s="88" t="s">
        <v>143</v>
      </c>
      <c r="C223" s="55">
        <v>392.57</v>
      </c>
      <c r="D223" s="70" t="s">
        <v>1</v>
      </c>
      <c r="E223" s="93">
        <f>(7.59*1.3*0.86)*1.44</f>
        <v>12.219292800000002</v>
      </c>
      <c r="F223" s="94">
        <f>C223*E223</f>
        <v>4796.9277744960009</v>
      </c>
      <c r="G223" s="53"/>
    </row>
    <row r="224" spans="1:7" x14ac:dyDescent="0.25">
      <c r="A224" s="77"/>
      <c r="B224" s="84"/>
      <c r="C224" s="55"/>
      <c r="D224" s="70"/>
      <c r="E224" s="93"/>
      <c r="F224" s="55"/>
      <c r="G224" s="53"/>
    </row>
    <row r="225" spans="1:7" ht="13.8" customHeight="1" x14ac:dyDescent="0.25">
      <c r="A225" s="77"/>
      <c r="B225" s="88" t="s">
        <v>139</v>
      </c>
      <c r="C225" s="55"/>
      <c r="D225" s="70"/>
      <c r="E225" s="93"/>
      <c r="F225" s="55"/>
      <c r="G225" s="53"/>
    </row>
    <row r="226" spans="1:7" x14ac:dyDescent="0.25">
      <c r="A226" s="77" t="s">
        <v>142</v>
      </c>
      <c r="B226" s="88" t="s">
        <v>819</v>
      </c>
      <c r="C226" s="55">
        <f>586.17*2</f>
        <v>1172.3399999999999</v>
      </c>
      <c r="D226" s="70" t="s">
        <v>56</v>
      </c>
      <c r="E226" s="93">
        <f>(16.79*1.3*0.86)*1.44</f>
        <v>27.030556799999999</v>
      </c>
      <c r="F226" s="94">
        <f>C226*E226</f>
        <v>31689.002958911999</v>
      </c>
      <c r="G226" s="53" t="s">
        <v>1253</v>
      </c>
    </row>
    <row r="227" spans="1:7" x14ac:dyDescent="0.25">
      <c r="A227" s="77"/>
      <c r="B227" s="52"/>
      <c r="C227" s="55"/>
      <c r="D227" s="70"/>
      <c r="E227" s="93"/>
      <c r="F227" s="55"/>
      <c r="G227" s="53"/>
    </row>
    <row r="228" spans="1:7" x14ac:dyDescent="0.25">
      <c r="A228" s="77"/>
      <c r="B228" s="52"/>
      <c r="C228" s="55"/>
      <c r="D228" s="70"/>
      <c r="E228" s="93"/>
      <c r="F228" s="55"/>
      <c r="G228" s="53"/>
    </row>
    <row r="229" spans="1:7" s="3" customFormat="1" x14ac:dyDescent="0.25">
      <c r="A229" s="85"/>
      <c r="B229" s="11" t="s">
        <v>7</v>
      </c>
      <c r="C229" s="12"/>
      <c r="D229" s="38"/>
      <c r="E229" s="12"/>
      <c r="F229" s="33">
        <f>SUM(F221:F228)</f>
        <v>36485.930733408</v>
      </c>
      <c r="G229" s="37"/>
    </row>
    <row r="230" spans="1:7" s="3" customFormat="1" ht="13.8" thickBot="1" x14ac:dyDescent="0.3">
      <c r="A230" s="107"/>
      <c r="B230" s="39"/>
      <c r="C230" s="108"/>
      <c r="D230" s="109"/>
      <c r="E230" s="108"/>
      <c r="F230" s="110"/>
      <c r="G230" s="111"/>
    </row>
    <row r="231" spans="1:7" s="3" customFormat="1" ht="13.8" thickBot="1" x14ac:dyDescent="0.3">
      <c r="A231" s="150"/>
      <c r="B231" s="151" t="s">
        <v>759</v>
      </c>
      <c r="C231" s="152"/>
      <c r="D231" s="153"/>
      <c r="E231" s="152"/>
      <c r="F231" s="154">
        <f>F218+F229</f>
        <v>59377.468201084797</v>
      </c>
      <c r="G231" s="155"/>
    </row>
    <row r="232" spans="1:7" x14ac:dyDescent="0.25">
      <c r="E232" s="98"/>
    </row>
    <row r="233" spans="1:7" s="63" customFormat="1" ht="15.6" x14ac:dyDescent="0.3">
      <c r="A233" s="73">
        <v>21</v>
      </c>
      <c r="B233" s="40" t="s">
        <v>144</v>
      </c>
      <c r="C233" s="59"/>
      <c r="D233" s="60"/>
      <c r="E233" s="162"/>
      <c r="F233" s="59"/>
      <c r="G233" s="40"/>
    </row>
    <row r="234" spans="1:7" s="65" customFormat="1" ht="13.8" x14ac:dyDescent="0.25">
      <c r="A234" s="78">
        <v>21.1</v>
      </c>
      <c r="B234" s="57" t="s">
        <v>145</v>
      </c>
      <c r="C234" s="68" t="s">
        <v>0</v>
      </c>
      <c r="D234" s="68" t="s">
        <v>5</v>
      </c>
      <c r="E234" s="68" t="s">
        <v>10</v>
      </c>
      <c r="F234" s="69" t="s">
        <v>6</v>
      </c>
      <c r="G234" s="66"/>
    </row>
    <row r="235" spans="1:7" s="3" customFormat="1" ht="39.6" x14ac:dyDescent="0.25">
      <c r="A235" s="79" t="s">
        <v>27</v>
      </c>
      <c r="B235" s="87" t="s">
        <v>146</v>
      </c>
      <c r="C235" s="116"/>
      <c r="D235" s="117"/>
      <c r="E235" s="163"/>
      <c r="F235" s="149"/>
      <c r="G235" s="115"/>
    </row>
    <row r="236" spans="1:7" ht="92.4" x14ac:dyDescent="0.25">
      <c r="A236" s="77"/>
      <c r="B236" s="84" t="s">
        <v>147</v>
      </c>
      <c r="C236" s="55"/>
      <c r="D236" s="70"/>
      <c r="E236" s="93"/>
      <c r="F236" s="55"/>
      <c r="G236" s="52"/>
    </row>
    <row r="237" spans="1:7" x14ac:dyDescent="0.25">
      <c r="A237" s="77" t="s">
        <v>41</v>
      </c>
      <c r="B237" s="88" t="s">
        <v>822</v>
      </c>
      <c r="C237" s="71">
        <v>601.4</v>
      </c>
      <c r="D237" s="70" t="s">
        <v>56</v>
      </c>
      <c r="E237" s="93">
        <f>(1059.07*1.3*0.86)*1.44</f>
        <v>1705.0179744</v>
      </c>
      <c r="F237" s="94">
        <f>C237*E237</f>
        <v>1025397.8098041599</v>
      </c>
      <c r="G237" s="52"/>
    </row>
    <row r="238" spans="1:7" x14ac:dyDescent="0.25">
      <c r="A238" s="77"/>
      <c r="B238" s="88" t="s">
        <v>148</v>
      </c>
      <c r="C238" s="55"/>
      <c r="D238" s="70"/>
      <c r="E238" s="93"/>
      <c r="F238" s="55"/>
      <c r="G238" s="53"/>
    </row>
    <row r="239" spans="1:7" ht="26.4" x14ac:dyDescent="0.25">
      <c r="A239" s="77" t="s">
        <v>149</v>
      </c>
      <c r="B239" s="84" t="s">
        <v>823</v>
      </c>
      <c r="C239" s="55">
        <v>92.71</v>
      </c>
      <c r="D239" s="70" t="s">
        <v>1</v>
      </c>
      <c r="E239" s="93">
        <f>(307.47*1.3*0.86)*1.44</f>
        <v>495.00210240000007</v>
      </c>
      <c r="F239" s="94">
        <f>C239*E239</f>
        <v>45891.644913504002</v>
      </c>
      <c r="G239" s="53"/>
    </row>
    <row r="240" spans="1:7" ht="14.4" customHeight="1" x14ac:dyDescent="0.25">
      <c r="A240" s="77" t="s">
        <v>150</v>
      </c>
      <c r="B240" s="84" t="s">
        <v>824</v>
      </c>
      <c r="C240" s="71">
        <v>45.9</v>
      </c>
      <c r="D240" s="70" t="s">
        <v>1</v>
      </c>
      <c r="E240" s="93">
        <f>(250.53*1.3*0.86)*1.44</f>
        <v>403.33325760000002</v>
      </c>
      <c r="F240" s="94">
        <f>C240*E240</f>
        <v>18512.99652384</v>
      </c>
      <c r="G240" s="53"/>
    </row>
    <row r="241" spans="1:7" x14ac:dyDescent="0.25">
      <c r="A241" s="77"/>
      <c r="B241" s="53"/>
      <c r="C241" s="55"/>
      <c r="D241" s="70"/>
      <c r="E241" s="93"/>
      <c r="F241" s="55"/>
      <c r="G241" s="53"/>
    </row>
    <row r="242" spans="1:7" x14ac:dyDescent="0.25">
      <c r="A242" s="77"/>
      <c r="B242" s="53"/>
      <c r="C242" s="55"/>
      <c r="D242" s="70"/>
      <c r="E242" s="93"/>
      <c r="F242" s="55"/>
      <c r="G242" s="53"/>
    </row>
    <row r="243" spans="1:7" s="3" customFormat="1" x14ac:dyDescent="0.25">
      <c r="A243" s="85"/>
      <c r="B243" s="11" t="s">
        <v>7</v>
      </c>
      <c r="C243" s="12"/>
      <c r="D243" s="38"/>
      <c r="E243" s="12"/>
      <c r="F243" s="33">
        <f>SUM(F235:F242)</f>
        <v>1089802.4512415037</v>
      </c>
      <c r="G243" s="37"/>
    </row>
    <row r="244" spans="1:7" s="3" customFormat="1" ht="13.8" thickBot="1" x14ac:dyDescent="0.3">
      <c r="A244" s="107"/>
      <c r="B244" s="39"/>
      <c r="C244" s="108"/>
      <c r="D244" s="109"/>
      <c r="E244" s="108"/>
      <c r="F244" s="110"/>
      <c r="G244" s="111"/>
    </row>
    <row r="245" spans="1:7" s="3" customFormat="1" ht="13.8" thickBot="1" x14ac:dyDescent="0.3">
      <c r="A245" s="150"/>
      <c r="B245" s="151" t="s">
        <v>759</v>
      </c>
      <c r="C245" s="152"/>
      <c r="D245" s="153"/>
      <c r="E245" s="152"/>
      <c r="F245" s="154">
        <f>F243</f>
        <v>1089802.4512415037</v>
      </c>
      <c r="G245" s="155"/>
    </row>
    <row r="246" spans="1:7" x14ac:dyDescent="0.25">
      <c r="E246" s="98"/>
    </row>
    <row r="247" spans="1:7" s="63" customFormat="1" ht="15.6" x14ac:dyDescent="0.3">
      <c r="A247" s="73">
        <v>22</v>
      </c>
      <c r="B247" s="40" t="s">
        <v>151</v>
      </c>
      <c r="C247" s="59"/>
      <c r="D247" s="60"/>
      <c r="E247" s="162"/>
      <c r="F247" s="59"/>
      <c r="G247" s="40"/>
    </row>
    <row r="248" spans="1:7" s="65" customFormat="1" ht="13.8" x14ac:dyDescent="0.25">
      <c r="A248" s="78">
        <v>22.2</v>
      </c>
      <c r="B248" s="66" t="s">
        <v>152</v>
      </c>
      <c r="C248" s="68" t="s">
        <v>0</v>
      </c>
      <c r="D248" s="68" t="s">
        <v>5</v>
      </c>
      <c r="E248" s="68" t="s">
        <v>10</v>
      </c>
      <c r="F248" s="69" t="s">
        <v>6</v>
      </c>
      <c r="G248" s="66"/>
    </row>
    <row r="249" spans="1:7" s="3" customFormat="1" x14ac:dyDescent="0.25">
      <c r="A249" s="79" t="s">
        <v>154</v>
      </c>
      <c r="B249" s="3" t="s">
        <v>153</v>
      </c>
      <c r="C249" s="116"/>
      <c r="D249" s="117"/>
      <c r="E249" s="121"/>
      <c r="F249" s="116"/>
      <c r="G249" s="115"/>
    </row>
    <row r="250" spans="1:7" x14ac:dyDescent="0.25">
      <c r="A250" s="77"/>
      <c r="B250" s="88" t="s">
        <v>155</v>
      </c>
      <c r="C250" s="55"/>
      <c r="D250" s="70"/>
      <c r="E250" s="93"/>
      <c r="F250" s="55"/>
      <c r="G250" s="53"/>
    </row>
    <row r="251" spans="1:7" x14ac:dyDescent="0.25">
      <c r="A251" s="77" t="s">
        <v>157</v>
      </c>
      <c r="B251" s="88" t="s">
        <v>156</v>
      </c>
      <c r="C251" s="55">
        <v>615.58000000000004</v>
      </c>
      <c r="D251" s="70" t="s">
        <v>1</v>
      </c>
      <c r="E251" s="93">
        <f>(9.22*1.3*0.86)*1.44</f>
        <v>14.843462399999998</v>
      </c>
      <c r="F251" s="94">
        <f>C251*E251</f>
        <v>9137.338584191999</v>
      </c>
      <c r="G251" s="53" t="s">
        <v>1255</v>
      </c>
    </row>
    <row r="252" spans="1:7" x14ac:dyDescent="0.25">
      <c r="A252" s="77"/>
      <c r="B252" s="88" t="s">
        <v>158</v>
      </c>
      <c r="C252" s="55"/>
      <c r="D252" s="70"/>
      <c r="E252" s="93"/>
      <c r="F252" s="55"/>
      <c r="G252" s="53"/>
    </row>
    <row r="253" spans="1:7" x14ac:dyDescent="0.25">
      <c r="A253" s="77" t="s">
        <v>159</v>
      </c>
      <c r="B253" s="88" t="s">
        <v>156</v>
      </c>
      <c r="C253" s="55">
        <v>521.03</v>
      </c>
      <c r="D253" s="70" t="s">
        <v>1</v>
      </c>
      <c r="E253" s="93">
        <f>(9.68*1.3*0.86)*1.44</f>
        <v>15.584025599999999</v>
      </c>
      <c r="F253" s="94">
        <f>C253*E253</f>
        <v>8119.7448583679989</v>
      </c>
      <c r="G253" s="53"/>
    </row>
    <row r="254" spans="1:7" x14ac:dyDescent="0.25">
      <c r="A254" s="77"/>
      <c r="B254" s="53"/>
      <c r="C254" s="55"/>
      <c r="D254" s="70"/>
      <c r="E254" s="93"/>
      <c r="F254" s="55"/>
      <c r="G254" s="53"/>
    </row>
    <row r="255" spans="1:7" x14ac:dyDescent="0.25">
      <c r="A255" s="77"/>
      <c r="B255" s="53"/>
      <c r="C255" s="55"/>
      <c r="D255" s="70"/>
      <c r="E255" s="93"/>
      <c r="F255" s="55"/>
      <c r="G255" s="53"/>
    </row>
    <row r="256" spans="1:7" s="3" customFormat="1" x14ac:dyDescent="0.25">
      <c r="A256" s="85"/>
      <c r="B256" s="11" t="s">
        <v>7</v>
      </c>
      <c r="C256" s="12"/>
      <c r="D256" s="38"/>
      <c r="E256" s="12"/>
      <c r="F256" s="33">
        <f>SUM(F249:F255)</f>
        <v>17257.083442559997</v>
      </c>
      <c r="G256" s="37"/>
    </row>
    <row r="257" spans="1:7" x14ac:dyDescent="0.25">
      <c r="E257" s="98"/>
    </row>
    <row r="258" spans="1:7" s="65" customFormat="1" ht="13.8" x14ac:dyDescent="0.25">
      <c r="A258" s="78">
        <v>22.4</v>
      </c>
      <c r="B258" s="66" t="s">
        <v>160</v>
      </c>
      <c r="C258" s="68" t="s">
        <v>0</v>
      </c>
      <c r="D258" s="68" t="s">
        <v>5</v>
      </c>
      <c r="E258" s="68" t="s">
        <v>10</v>
      </c>
      <c r="F258" s="69" t="s">
        <v>6</v>
      </c>
      <c r="G258" s="66"/>
    </row>
    <row r="259" spans="1:7" s="3" customFormat="1" ht="39.6" x14ac:dyDescent="0.25">
      <c r="A259" s="79" t="s">
        <v>162</v>
      </c>
      <c r="B259" s="87" t="s">
        <v>161</v>
      </c>
      <c r="C259" s="116"/>
      <c r="D259" s="117"/>
      <c r="E259" s="121"/>
      <c r="F259" s="116"/>
      <c r="G259" s="115"/>
    </row>
    <row r="260" spans="1:7" ht="52.8" x14ac:dyDescent="0.25">
      <c r="A260" s="77"/>
      <c r="B260" s="84" t="s">
        <v>163</v>
      </c>
      <c r="C260" s="55"/>
      <c r="D260" s="70"/>
      <c r="E260" s="93"/>
      <c r="F260" s="55"/>
      <c r="G260" s="53"/>
    </row>
    <row r="261" spans="1:7" x14ac:dyDescent="0.25">
      <c r="A261" s="77" t="s">
        <v>164</v>
      </c>
      <c r="B261" s="88" t="s">
        <v>825</v>
      </c>
      <c r="C261" s="55">
        <v>2</v>
      </c>
      <c r="D261" s="70" t="s">
        <v>3</v>
      </c>
      <c r="E261" s="93">
        <f>(957.4*1.3*0.86)*1.44</f>
        <v>1541.3374079999999</v>
      </c>
      <c r="F261" s="94">
        <f>C261*E261</f>
        <v>3082.6748159999997</v>
      </c>
      <c r="G261" s="53"/>
    </row>
    <row r="262" spans="1:7" x14ac:dyDescent="0.25">
      <c r="A262" s="77" t="s">
        <v>165</v>
      </c>
      <c r="B262" s="88" t="s">
        <v>826</v>
      </c>
      <c r="C262" s="55">
        <v>2</v>
      </c>
      <c r="D262" s="70" t="s">
        <v>3</v>
      </c>
      <c r="E262" s="93">
        <f>(2350.77*1.3*0.86)*1.44</f>
        <v>3784.5516383999998</v>
      </c>
      <c r="F262" s="94">
        <f>C262*E262</f>
        <v>7569.1032767999995</v>
      </c>
      <c r="G262" s="53"/>
    </row>
    <row r="263" spans="1:7" x14ac:dyDescent="0.25">
      <c r="A263" s="77" t="s">
        <v>166</v>
      </c>
      <c r="B263" s="88" t="s">
        <v>827</v>
      </c>
      <c r="C263" s="55">
        <v>7</v>
      </c>
      <c r="D263" s="70" t="s">
        <v>3</v>
      </c>
      <c r="E263" s="93">
        <f>(-237.27*1.3*0.86)*1.44</f>
        <v>-381.98571840000005</v>
      </c>
      <c r="F263" s="94">
        <f>C263*E263</f>
        <v>-2673.9000288000002</v>
      </c>
      <c r="G263" s="53"/>
    </row>
    <row r="264" spans="1:7" x14ac:dyDescent="0.25">
      <c r="A264" s="77"/>
      <c r="B264" s="53"/>
      <c r="C264" s="55"/>
      <c r="D264" s="70"/>
      <c r="E264" s="93"/>
      <c r="F264" s="55"/>
      <c r="G264" s="53"/>
    </row>
    <row r="265" spans="1:7" x14ac:dyDescent="0.25">
      <c r="A265" s="77"/>
      <c r="B265" s="53"/>
      <c r="C265" s="55"/>
      <c r="D265" s="70"/>
      <c r="E265" s="93"/>
      <c r="F265" s="55"/>
      <c r="G265" s="53"/>
    </row>
    <row r="266" spans="1:7" s="3" customFormat="1" x14ac:dyDescent="0.25">
      <c r="A266" s="85"/>
      <c r="B266" s="11" t="s">
        <v>7</v>
      </c>
      <c r="C266" s="12"/>
      <c r="D266" s="38"/>
      <c r="E266" s="12"/>
      <c r="F266" s="33">
        <f>SUM(F259:F265)</f>
        <v>7977.8780639999986</v>
      </c>
      <c r="G266" s="37"/>
    </row>
    <row r="267" spans="1:7" s="3" customFormat="1" ht="13.8" thickBot="1" x14ac:dyDescent="0.3">
      <c r="A267" s="107"/>
      <c r="B267" s="39"/>
      <c r="C267" s="108"/>
      <c r="D267" s="109"/>
      <c r="E267" s="108"/>
      <c r="F267" s="110"/>
      <c r="G267" s="111"/>
    </row>
    <row r="268" spans="1:7" s="3" customFormat="1" ht="13.8" thickBot="1" x14ac:dyDescent="0.3">
      <c r="A268" s="150"/>
      <c r="B268" s="151" t="s">
        <v>759</v>
      </c>
      <c r="C268" s="152"/>
      <c r="D268" s="153"/>
      <c r="E268" s="152"/>
      <c r="F268" s="154">
        <f>F256+F266</f>
        <v>25234.961506559994</v>
      </c>
      <c r="G268" s="155"/>
    </row>
    <row r="269" spans="1:7" x14ac:dyDescent="0.25">
      <c r="E269" s="98"/>
    </row>
    <row r="270" spans="1:7" s="63" customFormat="1" ht="15.6" x14ac:dyDescent="0.3">
      <c r="A270" s="73">
        <v>23</v>
      </c>
      <c r="B270" s="40" t="s">
        <v>167</v>
      </c>
      <c r="C270" s="59"/>
      <c r="D270" s="60"/>
      <c r="E270" s="162"/>
      <c r="F270" s="59"/>
      <c r="G270" s="40"/>
    </row>
    <row r="271" spans="1:7" s="65" customFormat="1" ht="13.8" x14ac:dyDescent="0.25">
      <c r="A271" s="78">
        <v>23.1</v>
      </c>
      <c r="B271" s="66" t="s">
        <v>168</v>
      </c>
      <c r="C271" s="68" t="s">
        <v>0</v>
      </c>
      <c r="D271" s="68" t="s">
        <v>5</v>
      </c>
      <c r="E271" s="68" t="s">
        <v>10</v>
      </c>
      <c r="F271" s="69" t="s">
        <v>6</v>
      </c>
      <c r="G271" s="66"/>
    </row>
    <row r="272" spans="1:7" s="3" customFormat="1" ht="26.4" x14ac:dyDescent="0.25">
      <c r="A272" s="79" t="s">
        <v>170</v>
      </c>
      <c r="B272" s="87" t="s">
        <v>169</v>
      </c>
      <c r="C272" s="116"/>
      <c r="D272" s="117"/>
      <c r="E272" s="121"/>
      <c r="F272" s="116"/>
      <c r="G272" s="115"/>
    </row>
    <row r="273" spans="1:7" ht="66" x14ac:dyDescent="0.25">
      <c r="A273" s="77"/>
      <c r="B273" s="84" t="s">
        <v>171</v>
      </c>
      <c r="C273" s="55"/>
      <c r="D273" s="70"/>
      <c r="E273" s="93"/>
      <c r="F273" s="55"/>
      <c r="G273" s="53"/>
    </row>
    <row r="274" spans="1:7" x14ac:dyDescent="0.25">
      <c r="A274" s="77" t="s">
        <v>172</v>
      </c>
      <c r="B274" s="88" t="s">
        <v>828</v>
      </c>
      <c r="C274" s="55">
        <v>83.23</v>
      </c>
      <c r="D274" s="70" t="s">
        <v>56</v>
      </c>
      <c r="E274" s="93">
        <f>(610.5*1.3*0.86)*1.44</f>
        <v>982.85615999999993</v>
      </c>
      <c r="F274" s="94">
        <f>C274*E274</f>
        <v>81803.118196800002</v>
      </c>
      <c r="G274" s="53"/>
    </row>
    <row r="275" spans="1:7" x14ac:dyDescent="0.25">
      <c r="A275" s="77"/>
      <c r="B275" s="53"/>
      <c r="C275" s="55"/>
      <c r="D275" s="70"/>
      <c r="E275" s="93"/>
      <c r="F275" s="55"/>
      <c r="G275" s="53"/>
    </row>
    <row r="276" spans="1:7" x14ac:dyDescent="0.25">
      <c r="A276" s="77"/>
      <c r="B276" s="53"/>
      <c r="C276" s="55"/>
      <c r="D276" s="70"/>
      <c r="E276" s="93"/>
      <c r="F276" s="55"/>
      <c r="G276" s="53"/>
    </row>
    <row r="277" spans="1:7" s="3" customFormat="1" x14ac:dyDescent="0.25">
      <c r="A277" s="85"/>
      <c r="B277" s="11" t="s">
        <v>7</v>
      </c>
      <c r="C277" s="12"/>
      <c r="D277" s="38"/>
      <c r="E277" s="12"/>
      <c r="F277" s="33">
        <f>SUM(F272:F276)</f>
        <v>81803.118196800002</v>
      </c>
      <c r="G277" s="37"/>
    </row>
    <row r="278" spans="1:7" s="3" customFormat="1" ht="13.8" thickBot="1" x14ac:dyDescent="0.3">
      <c r="A278" s="107"/>
      <c r="B278" s="39"/>
      <c r="C278" s="108"/>
      <c r="D278" s="109"/>
      <c r="E278" s="108"/>
      <c r="F278" s="110"/>
      <c r="G278" s="111"/>
    </row>
    <row r="279" spans="1:7" s="3" customFormat="1" ht="13.8" thickBot="1" x14ac:dyDescent="0.3">
      <c r="A279" s="150"/>
      <c r="B279" s="151" t="s">
        <v>759</v>
      </c>
      <c r="C279" s="152"/>
      <c r="D279" s="153"/>
      <c r="E279" s="152"/>
      <c r="F279" s="154">
        <f>F277</f>
        <v>81803.118196800002</v>
      </c>
      <c r="G279" s="155"/>
    </row>
    <row r="280" spans="1:7" x14ac:dyDescent="0.25">
      <c r="E280" s="98"/>
    </row>
    <row r="281" spans="1:7" s="63" customFormat="1" ht="15.6" x14ac:dyDescent="0.3">
      <c r="A281" s="73">
        <v>24</v>
      </c>
      <c r="B281" s="40" t="s">
        <v>173</v>
      </c>
      <c r="C281" s="59"/>
      <c r="D281" s="60"/>
      <c r="E281" s="162"/>
      <c r="F281" s="59"/>
      <c r="G281" s="40"/>
    </row>
    <row r="282" spans="1:7" s="65" customFormat="1" ht="13.8" x14ac:dyDescent="0.25">
      <c r="A282" s="78">
        <v>24.1</v>
      </c>
      <c r="B282" s="66" t="s">
        <v>174</v>
      </c>
      <c r="C282" s="68" t="s">
        <v>0</v>
      </c>
      <c r="D282" s="68" t="s">
        <v>5</v>
      </c>
      <c r="E282" s="68" t="s">
        <v>10</v>
      </c>
      <c r="F282" s="69" t="s">
        <v>6</v>
      </c>
      <c r="G282" s="66"/>
    </row>
    <row r="283" spans="1:7" s="3" customFormat="1" x14ac:dyDescent="0.25">
      <c r="A283" s="79" t="s">
        <v>176</v>
      </c>
      <c r="B283" s="3" t="s">
        <v>175</v>
      </c>
      <c r="C283" s="116"/>
      <c r="D283" s="117"/>
      <c r="E283" s="121"/>
      <c r="F283" s="116"/>
      <c r="G283" s="115"/>
    </row>
    <row r="284" spans="1:7" ht="26.4" x14ac:dyDescent="0.25">
      <c r="A284" s="77"/>
      <c r="B284" s="84" t="s">
        <v>177</v>
      </c>
      <c r="C284" s="55"/>
      <c r="D284" s="70"/>
      <c r="E284" s="93"/>
      <c r="F284" s="55"/>
      <c r="G284" s="53"/>
    </row>
    <row r="285" spans="1:7" x14ac:dyDescent="0.25">
      <c r="A285" s="77" t="s">
        <v>178</v>
      </c>
      <c r="B285" s="88" t="s">
        <v>179</v>
      </c>
      <c r="C285" s="55">
        <v>1</v>
      </c>
      <c r="D285" s="70" t="s">
        <v>3</v>
      </c>
      <c r="E285" s="93">
        <f>(218.39*1.3*0.86)*1.44</f>
        <v>351.59042879999993</v>
      </c>
      <c r="F285" s="94">
        <f>C285*E285</f>
        <v>351.59042879999993</v>
      </c>
      <c r="G285" s="53" t="s">
        <v>1256</v>
      </c>
    </row>
    <row r="286" spans="1:7" x14ac:dyDescent="0.25">
      <c r="A286" s="77"/>
      <c r="B286" s="53"/>
      <c r="C286" s="55"/>
      <c r="D286" s="70"/>
      <c r="E286" s="93"/>
      <c r="F286" s="55"/>
      <c r="G286" s="53"/>
    </row>
    <row r="287" spans="1:7" x14ac:dyDescent="0.25">
      <c r="A287" s="77"/>
      <c r="B287" s="53"/>
      <c r="C287" s="55"/>
      <c r="D287" s="70"/>
      <c r="E287" s="93"/>
      <c r="F287" s="55"/>
      <c r="G287" s="53"/>
    </row>
    <row r="288" spans="1:7" s="3" customFormat="1" x14ac:dyDescent="0.25">
      <c r="A288" s="85"/>
      <c r="B288" s="11" t="s">
        <v>7</v>
      </c>
      <c r="C288" s="12"/>
      <c r="D288" s="38"/>
      <c r="E288" s="12"/>
      <c r="F288" s="33">
        <f>SUM(F283:F287)</f>
        <v>351.59042879999993</v>
      </c>
      <c r="G288" s="37"/>
    </row>
    <row r="289" spans="1:7" x14ac:dyDescent="0.25">
      <c r="E289" s="98"/>
    </row>
    <row r="290" spans="1:7" s="65" customFormat="1" ht="13.8" x14ac:dyDescent="0.25">
      <c r="A290" s="78">
        <v>24.3</v>
      </c>
      <c r="B290" s="66" t="s">
        <v>180</v>
      </c>
      <c r="C290" s="68" t="s">
        <v>0</v>
      </c>
      <c r="D290" s="68" t="s">
        <v>5</v>
      </c>
      <c r="E290" s="68" t="s">
        <v>10</v>
      </c>
      <c r="F290" s="69" t="s">
        <v>6</v>
      </c>
      <c r="G290" s="66"/>
    </row>
    <row r="291" spans="1:7" s="3" customFormat="1" x14ac:dyDescent="0.25">
      <c r="A291" s="79" t="s">
        <v>182</v>
      </c>
      <c r="B291" s="3" t="s">
        <v>181</v>
      </c>
      <c r="C291" s="116"/>
      <c r="D291" s="117"/>
      <c r="E291" s="121"/>
      <c r="F291" s="116"/>
      <c r="G291" s="115"/>
    </row>
    <row r="292" spans="1:7" ht="148.80000000000001" customHeight="1" x14ac:dyDescent="0.25">
      <c r="A292" s="77"/>
      <c r="B292" s="84" t="s">
        <v>183</v>
      </c>
      <c r="C292" s="55"/>
      <c r="D292" s="70"/>
      <c r="E292" s="93"/>
      <c r="F292" s="55"/>
      <c r="G292" s="53"/>
    </row>
    <row r="293" spans="1:7" ht="39.6" x14ac:dyDescent="0.25">
      <c r="A293" s="77" t="s">
        <v>185</v>
      </c>
      <c r="B293" s="84" t="s">
        <v>184</v>
      </c>
      <c r="C293" s="55">
        <v>2</v>
      </c>
      <c r="D293" s="70" t="s">
        <v>3</v>
      </c>
      <c r="E293" s="93">
        <f>(11845*1.3*0.86)*1.44</f>
        <v>19069.502399999998</v>
      </c>
      <c r="F293" s="94">
        <f>C293*E293</f>
        <v>38139.004799999995</v>
      </c>
      <c r="G293" s="53" t="s">
        <v>1257</v>
      </c>
    </row>
    <row r="294" spans="1:7" x14ac:dyDescent="0.25">
      <c r="A294" s="77"/>
      <c r="B294" s="53"/>
      <c r="C294" s="55"/>
      <c r="D294" s="70"/>
      <c r="E294" s="93"/>
      <c r="F294" s="55"/>
      <c r="G294" s="53"/>
    </row>
    <row r="295" spans="1:7" x14ac:dyDescent="0.25">
      <c r="A295" s="77"/>
      <c r="B295" s="53"/>
      <c r="C295" s="55"/>
      <c r="D295" s="70"/>
      <c r="E295" s="93"/>
      <c r="F295" s="55"/>
      <c r="G295" s="53"/>
    </row>
    <row r="296" spans="1:7" s="3" customFormat="1" x14ac:dyDescent="0.25">
      <c r="A296" s="85"/>
      <c r="B296" s="11" t="s">
        <v>7</v>
      </c>
      <c r="C296" s="12"/>
      <c r="D296" s="38"/>
      <c r="E296" s="12"/>
      <c r="F296" s="33">
        <f>SUM(F291:F295)</f>
        <v>38139.004799999995</v>
      </c>
      <c r="G296" s="37"/>
    </row>
    <row r="297" spans="1:7" x14ac:dyDescent="0.25">
      <c r="E297" s="98"/>
    </row>
    <row r="298" spans="1:7" s="65" customFormat="1" ht="13.8" x14ac:dyDescent="0.25">
      <c r="A298" s="78">
        <v>24.6</v>
      </c>
      <c r="B298" s="66" t="s">
        <v>186</v>
      </c>
      <c r="C298" s="68" t="s">
        <v>0</v>
      </c>
      <c r="D298" s="68" t="s">
        <v>5</v>
      </c>
      <c r="E298" s="68" t="s">
        <v>10</v>
      </c>
      <c r="F298" s="69" t="s">
        <v>6</v>
      </c>
      <c r="G298" s="66"/>
    </row>
    <row r="299" spans="1:7" x14ac:dyDescent="0.25">
      <c r="A299" s="77"/>
      <c r="B299" s="115" t="s">
        <v>187</v>
      </c>
      <c r="C299" s="55"/>
      <c r="D299" s="70"/>
      <c r="E299" s="93"/>
      <c r="F299" s="55"/>
      <c r="G299" s="53"/>
    </row>
    <row r="300" spans="1:7" s="3" customFormat="1" x14ac:dyDescent="0.25">
      <c r="A300" s="79" t="s">
        <v>189</v>
      </c>
      <c r="B300" s="3" t="s">
        <v>207</v>
      </c>
      <c r="C300" s="116"/>
      <c r="D300" s="117"/>
      <c r="E300" s="121"/>
      <c r="F300" s="116"/>
      <c r="G300" s="115"/>
    </row>
    <row r="301" spans="1:7" x14ac:dyDescent="0.25">
      <c r="A301" s="77"/>
      <c r="B301" s="88" t="s">
        <v>208</v>
      </c>
      <c r="C301" s="55"/>
      <c r="D301" s="70"/>
      <c r="E301" s="93"/>
      <c r="F301" s="55"/>
      <c r="G301" s="53"/>
    </row>
    <row r="302" spans="1:7" x14ac:dyDescent="0.25">
      <c r="A302" s="77" t="s">
        <v>192</v>
      </c>
      <c r="B302" s="88" t="s">
        <v>209</v>
      </c>
      <c r="C302" s="55">
        <f>34.34+4</f>
        <v>38.340000000000003</v>
      </c>
      <c r="D302" s="70" t="s">
        <v>1</v>
      </c>
      <c r="E302" s="93">
        <f>(12.89*1.3*0.86)*1.44</f>
        <v>20.7518688</v>
      </c>
      <c r="F302" s="94">
        <f>C302*E302</f>
        <v>795.62664979200008</v>
      </c>
      <c r="G302" s="53"/>
    </row>
    <row r="303" spans="1:7" x14ac:dyDescent="0.25">
      <c r="A303" s="77"/>
      <c r="C303" s="55"/>
      <c r="D303" s="70"/>
      <c r="E303" s="93"/>
      <c r="F303" s="55"/>
      <c r="G303" s="53"/>
    </row>
    <row r="304" spans="1:7" s="3" customFormat="1" ht="44.4" customHeight="1" x14ac:dyDescent="0.25">
      <c r="A304" s="79" t="s">
        <v>195</v>
      </c>
      <c r="B304" s="87" t="s">
        <v>193</v>
      </c>
      <c r="C304" s="116"/>
      <c r="D304" s="117"/>
      <c r="E304" s="121"/>
      <c r="F304" s="116"/>
      <c r="G304" s="115"/>
    </row>
    <row r="305" spans="1:7" x14ac:dyDescent="0.25">
      <c r="A305" s="77"/>
      <c r="B305" s="88" t="s">
        <v>194</v>
      </c>
      <c r="C305" s="55"/>
      <c r="D305" s="70"/>
      <c r="E305" s="93"/>
      <c r="F305" s="55"/>
      <c r="G305" s="53"/>
    </row>
    <row r="306" spans="1:7" x14ac:dyDescent="0.25">
      <c r="A306" s="77" t="s">
        <v>196</v>
      </c>
      <c r="B306" s="88" t="s">
        <v>1078</v>
      </c>
      <c r="C306" s="55">
        <v>56</v>
      </c>
      <c r="D306" s="70" t="s">
        <v>3</v>
      </c>
      <c r="E306" s="93">
        <f>((198.37*1.2)*1.3*0.86)*1.44</f>
        <v>383.23179648000001</v>
      </c>
      <c r="F306" s="94">
        <f>C306*E306</f>
        <v>21460.980602880001</v>
      </c>
      <c r="G306" s="53"/>
    </row>
    <row r="307" spans="1:7" x14ac:dyDescent="0.25">
      <c r="A307" s="77"/>
      <c r="B307" s="88"/>
      <c r="C307" s="55"/>
      <c r="D307" s="70"/>
      <c r="E307" s="93"/>
      <c r="F307" s="94"/>
      <c r="G307" s="53"/>
    </row>
    <row r="308" spans="1:7" x14ac:dyDescent="0.25">
      <c r="A308" s="77"/>
      <c r="B308" s="3" t="s">
        <v>203</v>
      </c>
      <c r="C308" s="55"/>
      <c r="D308" s="70"/>
      <c r="E308" s="93"/>
      <c r="F308" s="94"/>
      <c r="G308" s="53"/>
    </row>
    <row r="309" spans="1:7" s="3" customFormat="1" x14ac:dyDescent="0.25">
      <c r="A309" s="79" t="s">
        <v>197</v>
      </c>
      <c r="B309" s="3" t="s">
        <v>204</v>
      </c>
      <c r="C309" s="116"/>
      <c r="D309" s="117"/>
      <c r="E309" s="121"/>
      <c r="F309" s="164"/>
      <c r="G309" s="115"/>
    </row>
    <row r="310" spans="1:7" ht="26.4" x14ac:dyDescent="0.25">
      <c r="A310" s="77"/>
      <c r="B310" s="84" t="s">
        <v>205</v>
      </c>
      <c r="C310" s="55"/>
      <c r="D310" s="70"/>
      <c r="E310" s="93"/>
      <c r="F310" s="94"/>
      <c r="G310" s="53"/>
    </row>
    <row r="311" spans="1:7" x14ac:dyDescent="0.25">
      <c r="A311" s="77" t="s">
        <v>198</v>
      </c>
      <c r="B311" s="88" t="s">
        <v>206</v>
      </c>
      <c r="C311" s="55">
        <v>9</v>
      </c>
      <c r="D311" s="70" t="s">
        <v>3</v>
      </c>
      <c r="E311" s="93">
        <f>(54.03*1.3*0.86)*1.44</f>
        <v>86.983977600000003</v>
      </c>
      <c r="F311" s="94">
        <f>C311*E311</f>
        <v>782.85579840000003</v>
      </c>
      <c r="G311" s="53" t="s">
        <v>1259</v>
      </c>
    </row>
    <row r="312" spans="1:7" x14ac:dyDescent="0.25">
      <c r="A312" s="77"/>
      <c r="B312" s="84"/>
      <c r="C312" s="55"/>
      <c r="D312" s="70"/>
      <c r="E312" s="93"/>
      <c r="F312" s="55"/>
      <c r="G312" s="53"/>
    </row>
    <row r="313" spans="1:7" x14ac:dyDescent="0.25">
      <c r="A313" s="77"/>
      <c r="B313" s="3" t="s">
        <v>188</v>
      </c>
      <c r="C313" s="55"/>
      <c r="D313" s="70"/>
      <c r="E313" s="93"/>
      <c r="F313" s="55"/>
      <c r="G313" s="53"/>
    </row>
    <row r="314" spans="1:7" s="3" customFormat="1" ht="26.4" x14ac:dyDescent="0.25">
      <c r="A314" s="79" t="s">
        <v>210</v>
      </c>
      <c r="B314" s="87" t="s">
        <v>190</v>
      </c>
      <c r="C314" s="116"/>
      <c r="D314" s="117"/>
      <c r="E314" s="121"/>
      <c r="F314" s="116"/>
      <c r="G314" s="115"/>
    </row>
    <row r="315" spans="1:7" ht="39.6" x14ac:dyDescent="0.25">
      <c r="A315" s="77" t="s">
        <v>211</v>
      </c>
      <c r="B315" s="84" t="s">
        <v>191</v>
      </c>
      <c r="C315" s="55">
        <v>56</v>
      </c>
      <c r="D315" s="70" t="s">
        <v>3</v>
      </c>
      <c r="E315" s="93">
        <f>(264.83*1.3*0.86)*1.44</f>
        <v>426.35511359999992</v>
      </c>
      <c r="F315" s="94">
        <f>C315*E315</f>
        <v>23875.886361599994</v>
      </c>
      <c r="G315" s="53" t="s">
        <v>1258</v>
      </c>
    </row>
    <row r="316" spans="1:7" x14ac:dyDescent="0.25">
      <c r="A316" s="77"/>
      <c r="B316" s="53"/>
      <c r="C316" s="55"/>
      <c r="D316" s="70"/>
      <c r="E316" s="93"/>
      <c r="F316" s="55"/>
      <c r="G316" s="53"/>
    </row>
    <row r="317" spans="1:7" x14ac:dyDescent="0.25">
      <c r="A317" s="77"/>
      <c r="B317" s="53"/>
      <c r="C317" s="55"/>
      <c r="D317" s="70"/>
      <c r="E317" s="93"/>
      <c r="F317" s="55"/>
      <c r="G317" s="53"/>
    </row>
    <row r="318" spans="1:7" s="3" customFormat="1" x14ac:dyDescent="0.25">
      <c r="A318" s="85"/>
      <c r="B318" s="11" t="s">
        <v>7</v>
      </c>
      <c r="C318" s="12"/>
      <c r="D318" s="38"/>
      <c r="E318" s="12"/>
      <c r="F318" s="33">
        <f>SUM(F299:F317)</f>
        <v>46915.349412671996</v>
      </c>
      <c r="G318" s="37"/>
    </row>
    <row r="319" spans="1:7" x14ac:dyDescent="0.25">
      <c r="E319" s="98"/>
    </row>
    <row r="320" spans="1:7" s="65" customFormat="1" ht="13.8" x14ac:dyDescent="0.25">
      <c r="A320" s="78">
        <v>24.7</v>
      </c>
      <c r="B320" s="66" t="s">
        <v>199</v>
      </c>
      <c r="C320" s="68" t="s">
        <v>0</v>
      </c>
      <c r="D320" s="68" t="s">
        <v>5</v>
      </c>
      <c r="E320" s="68" t="s">
        <v>10</v>
      </c>
      <c r="F320" s="69" t="s">
        <v>6</v>
      </c>
      <c r="G320" s="66"/>
    </row>
    <row r="321" spans="1:7" x14ac:dyDescent="0.25">
      <c r="A321" s="135"/>
      <c r="B321" s="3" t="s">
        <v>200</v>
      </c>
      <c r="C321" s="55"/>
      <c r="D321" s="70"/>
      <c r="E321" s="93"/>
      <c r="F321" s="55"/>
      <c r="G321" s="53"/>
    </row>
    <row r="322" spans="1:7" s="3" customFormat="1" x14ac:dyDescent="0.25">
      <c r="A322" s="79" t="s">
        <v>201</v>
      </c>
      <c r="B322" s="3" t="s">
        <v>229</v>
      </c>
      <c r="C322" s="116"/>
      <c r="D322" s="117"/>
      <c r="E322" s="116"/>
      <c r="F322" s="116"/>
      <c r="G322" s="115"/>
    </row>
    <row r="323" spans="1:7" ht="39.6" x14ac:dyDescent="0.25">
      <c r="A323" s="77" t="s">
        <v>202</v>
      </c>
      <c r="B323" s="84" t="s">
        <v>230</v>
      </c>
      <c r="C323" s="55">
        <v>56</v>
      </c>
      <c r="D323" s="70" t="s">
        <v>3</v>
      </c>
      <c r="E323" s="93">
        <f>(9.51*1.3*0.86)*1.44</f>
        <v>15.3103392</v>
      </c>
      <c r="F323" s="93">
        <f t="shared" ref="F323:F332" si="2">C323*E323</f>
        <v>857.37899519999996</v>
      </c>
      <c r="G323" s="53"/>
    </row>
    <row r="324" spans="1:7" ht="26.4" x14ac:dyDescent="0.25">
      <c r="A324" s="77" t="s">
        <v>212</v>
      </c>
      <c r="B324" s="84" t="s">
        <v>231</v>
      </c>
      <c r="C324" s="55">
        <v>56</v>
      </c>
      <c r="D324" s="70" t="s">
        <v>3</v>
      </c>
      <c r="E324" s="93">
        <f>(162.35*1.3*0.86)*1.44</f>
        <v>261.37051200000002</v>
      </c>
      <c r="F324" s="93">
        <f t="shared" si="2"/>
        <v>14636.748672000002</v>
      </c>
      <c r="G324" s="53"/>
    </row>
    <row r="325" spans="1:7" ht="39.6" x14ac:dyDescent="0.25">
      <c r="A325" s="77" t="s">
        <v>213</v>
      </c>
      <c r="B325" s="84" t="s">
        <v>232</v>
      </c>
      <c r="C325" s="55">
        <f>56/2</f>
        <v>28</v>
      </c>
      <c r="D325" s="70" t="s">
        <v>3</v>
      </c>
      <c r="E325" s="93">
        <f>(38.74*1.3*0.86)*1.44</f>
        <v>62.3683008</v>
      </c>
      <c r="F325" s="93">
        <f t="shared" si="2"/>
        <v>1746.3124224000001</v>
      </c>
      <c r="G325" s="53"/>
    </row>
    <row r="326" spans="1:7" ht="26.4" x14ac:dyDescent="0.25">
      <c r="A326" s="77" t="s">
        <v>216</v>
      </c>
      <c r="B326" s="84" t="s">
        <v>233</v>
      </c>
      <c r="C326" s="55">
        <v>28</v>
      </c>
      <c r="D326" s="70" t="s">
        <v>3</v>
      </c>
      <c r="E326" s="93">
        <f>(11.78*1.3*0.86)*1.44</f>
        <v>18.964857599999998</v>
      </c>
      <c r="F326" s="93">
        <f t="shared" si="2"/>
        <v>531.0160128</v>
      </c>
      <c r="G326" s="53"/>
    </row>
    <row r="327" spans="1:7" ht="26.4" x14ac:dyDescent="0.25">
      <c r="A327" s="77" t="s">
        <v>218</v>
      </c>
      <c r="B327" s="84" t="s">
        <v>234</v>
      </c>
      <c r="C327" s="55">
        <v>28</v>
      </c>
      <c r="D327" s="70" t="s">
        <v>3</v>
      </c>
      <c r="E327" s="93">
        <f>(8.13*1.3*0.86)*1.44</f>
        <v>13.0886496</v>
      </c>
      <c r="F327" s="93">
        <f t="shared" si="2"/>
        <v>366.48218880000002</v>
      </c>
      <c r="G327" s="53"/>
    </row>
    <row r="328" spans="1:7" x14ac:dyDescent="0.25">
      <c r="A328" s="77" t="s">
        <v>219</v>
      </c>
      <c r="B328" s="88" t="s">
        <v>214</v>
      </c>
      <c r="C328" s="55">
        <v>56</v>
      </c>
      <c r="D328" s="70" t="s">
        <v>3</v>
      </c>
      <c r="E328" s="93">
        <f>(12.6*1.3*0.86)*1.44</f>
        <v>20.284991999999995</v>
      </c>
      <c r="F328" s="93">
        <f t="shared" si="2"/>
        <v>1135.9595519999998</v>
      </c>
      <c r="G328" s="53"/>
    </row>
    <row r="329" spans="1:7" ht="26.4" x14ac:dyDescent="0.25">
      <c r="A329" s="77" t="s">
        <v>220</v>
      </c>
      <c r="B329" s="84" t="s">
        <v>215</v>
      </c>
      <c r="C329" s="55">
        <v>56</v>
      </c>
      <c r="D329" s="70" t="s">
        <v>3</v>
      </c>
      <c r="E329" s="93">
        <f>(23.13*1.3*0.86)*1.44</f>
        <v>37.237449599999998</v>
      </c>
      <c r="F329" s="94">
        <f t="shared" si="2"/>
        <v>2085.2971775999999</v>
      </c>
      <c r="G329" s="53"/>
    </row>
    <row r="330" spans="1:7" ht="26.4" x14ac:dyDescent="0.25">
      <c r="A330" s="77" t="s">
        <v>222</v>
      </c>
      <c r="B330" s="84" t="s">
        <v>228</v>
      </c>
      <c r="C330" s="55">
        <v>28</v>
      </c>
      <c r="D330" s="70" t="s">
        <v>3</v>
      </c>
      <c r="E330" s="93">
        <f>(2.44*1.3*0.86)*1.44</f>
        <v>3.9282048000000001</v>
      </c>
      <c r="F330" s="94">
        <f t="shared" si="2"/>
        <v>109.9897344</v>
      </c>
      <c r="G330" s="53"/>
    </row>
    <row r="331" spans="1:7" ht="26.4" x14ac:dyDescent="0.25">
      <c r="A331" s="77" t="s">
        <v>223</v>
      </c>
      <c r="B331" s="84" t="s">
        <v>217</v>
      </c>
      <c r="C331" s="55">
        <v>56</v>
      </c>
      <c r="D331" s="70" t="s">
        <v>3</v>
      </c>
      <c r="E331" s="93">
        <f>(63.11*1.3*0.86)*1.44</f>
        <v>101.60205120000001</v>
      </c>
      <c r="F331" s="93">
        <f t="shared" si="2"/>
        <v>5689.7148672000003</v>
      </c>
      <c r="G331" s="53"/>
    </row>
    <row r="332" spans="1:7" x14ac:dyDescent="0.25">
      <c r="A332" s="77" t="s">
        <v>225</v>
      </c>
      <c r="B332" s="88" t="s">
        <v>227</v>
      </c>
      <c r="C332" s="55">
        <v>28</v>
      </c>
      <c r="D332" s="70" t="s">
        <v>3</v>
      </c>
      <c r="E332" s="93">
        <f>(8.28*1.3*0.86)*1.44</f>
        <v>13.330137599999999</v>
      </c>
      <c r="F332" s="93">
        <f t="shared" si="2"/>
        <v>373.24385279999996</v>
      </c>
      <c r="G332" s="53"/>
    </row>
    <row r="333" spans="1:7" x14ac:dyDescent="0.25">
      <c r="A333" s="77"/>
      <c r="B333" s="53"/>
      <c r="C333" s="55"/>
      <c r="D333" s="70"/>
      <c r="E333" s="55"/>
      <c r="F333" s="55"/>
      <c r="G333" s="53"/>
    </row>
    <row r="334" spans="1:7" s="3" customFormat="1" x14ac:dyDescent="0.25">
      <c r="A334" s="79" t="s">
        <v>265</v>
      </c>
      <c r="B334" s="3" t="s">
        <v>235</v>
      </c>
      <c r="C334" s="116"/>
      <c r="D334" s="117"/>
      <c r="E334" s="116"/>
      <c r="F334" s="116"/>
      <c r="G334" s="115"/>
    </row>
    <row r="335" spans="1:7" ht="26.4" x14ac:dyDescent="0.25">
      <c r="A335" s="77" t="s">
        <v>266</v>
      </c>
      <c r="B335" s="84" t="s">
        <v>236</v>
      </c>
      <c r="C335" s="55">
        <v>5</v>
      </c>
      <c r="D335" s="70" t="s">
        <v>3</v>
      </c>
      <c r="E335" s="93">
        <f>(28.54*1.3*0.86)*1.44</f>
        <v>45.947116799999996</v>
      </c>
      <c r="F335" s="93">
        <f t="shared" ref="F335:F342" si="3">C335*E335</f>
        <v>229.73558399999999</v>
      </c>
      <c r="G335" s="53"/>
    </row>
    <row r="336" spans="1:7" ht="26.4" x14ac:dyDescent="0.25">
      <c r="A336" s="77" t="s">
        <v>267</v>
      </c>
      <c r="B336" s="84" t="s">
        <v>231</v>
      </c>
      <c r="C336" s="55">
        <v>5</v>
      </c>
      <c r="D336" s="70" t="s">
        <v>3</v>
      </c>
      <c r="E336" s="93">
        <f>(162.35*1.3*0.86)*1.44</f>
        <v>261.37051200000002</v>
      </c>
      <c r="F336" s="93">
        <f t="shared" si="3"/>
        <v>1306.85256</v>
      </c>
      <c r="G336" s="53"/>
    </row>
    <row r="337" spans="1:7" ht="26.4" x14ac:dyDescent="0.25">
      <c r="A337" s="77" t="s">
        <v>268</v>
      </c>
      <c r="B337" s="84" t="s">
        <v>237</v>
      </c>
      <c r="C337" s="55">
        <v>5</v>
      </c>
      <c r="D337" s="70" t="s">
        <v>3</v>
      </c>
      <c r="E337" s="93">
        <f>(17.22*1.3*0.86)*1.44</f>
        <v>27.722822399999998</v>
      </c>
      <c r="F337" s="93">
        <f t="shared" si="3"/>
        <v>138.61411199999998</v>
      </c>
      <c r="G337" s="53"/>
    </row>
    <row r="338" spans="1:7" ht="26.4" x14ac:dyDescent="0.25">
      <c r="A338" s="77" t="s">
        <v>269</v>
      </c>
      <c r="B338" s="84" t="s">
        <v>238</v>
      </c>
      <c r="C338" s="55">
        <v>5</v>
      </c>
      <c r="D338" s="70" t="s">
        <v>3</v>
      </c>
      <c r="E338" s="93">
        <f>(51.35*1.3*0.86)*1.44</f>
        <v>82.669392000000016</v>
      </c>
      <c r="F338" s="93">
        <f t="shared" si="3"/>
        <v>413.34696000000008</v>
      </c>
      <c r="G338" s="53"/>
    </row>
    <row r="339" spans="1:7" ht="26.4" x14ac:dyDescent="0.25">
      <c r="A339" s="77" t="s">
        <v>270</v>
      </c>
      <c r="B339" s="84" t="s">
        <v>239</v>
      </c>
      <c r="C339" s="55">
        <v>5</v>
      </c>
      <c r="D339" s="70" t="s">
        <v>3</v>
      </c>
      <c r="E339" s="93">
        <f>(17.97*1.3*0.86)*1.44</f>
        <v>28.9302624</v>
      </c>
      <c r="F339" s="93">
        <f t="shared" si="3"/>
        <v>144.65131199999999</v>
      </c>
      <c r="G339" s="53"/>
    </row>
    <row r="340" spans="1:7" x14ac:dyDescent="0.25">
      <c r="A340" s="77" t="s">
        <v>271</v>
      </c>
      <c r="B340" s="88" t="s">
        <v>240</v>
      </c>
      <c r="C340" s="55">
        <v>5</v>
      </c>
      <c r="D340" s="70" t="s">
        <v>3</v>
      </c>
      <c r="E340" s="93">
        <f>(0.61*1.3*0.86)*1.44</f>
        <v>0.98205120000000001</v>
      </c>
      <c r="F340" s="93">
        <f t="shared" si="3"/>
        <v>4.9102560000000004</v>
      </c>
      <c r="G340" s="53"/>
    </row>
    <row r="341" spans="1:7" ht="26.4" x14ac:dyDescent="0.25">
      <c r="A341" s="77" t="s">
        <v>272</v>
      </c>
      <c r="B341" s="84" t="s">
        <v>241</v>
      </c>
      <c r="C341" s="55">
        <v>5</v>
      </c>
      <c r="D341" s="70" t="s">
        <v>3</v>
      </c>
      <c r="E341" s="93">
        <f>(0.65*1.3*0.86)*1.44</f>
        <v>1.046448</v>
      </c>
      <c r="F341" s="93">
        <f t="shared" si="3"/>
        <v>5.23224</v>
      </c>
      <c r="G341" s="53"/>
    </row>
    <row r="342" spans="1:7" ht="26.4" x14ac:dyDescent="0.25">
      <c r="A342" s="77" t="s">
        <v>273</v>
      </c>
      <c r="B342" s="136" t="s">
        <v>242</v>
      </c>
      <c r="C342" s="55">
        <v>5</v>
      </c>
      <c r="D342" s="70" t="s">
        <v>3</v>
      </c>
      <c r="E342" s="93">
        <f>(2.44*1.3*0.86)*1.44</f>
        <v>3.9282048000000001</v>
      </c>
      <c r="F342" s="93">
        <f t="shared" si="3"/>
        <v>19.641024000000002</v>
      </c>
      <c r="G342" s="53"/>
    </row>
    <row r="343" spans="1:7" x14ac:dyDescent="0.25">
      <c r="A343" s="77"/>
      <c r="B343" s="53"/>
      <c r="C343" s="55"/>
      <c r="D343" s="70"/>
      <c r="E343" s="55"/>
      <c r="F343" s="55"/>
      <c r="G343" s="53"/>
    </row>
    <row r="344" spans="1:7" s="3" customFormat="1" x14ac:dyDescent="0.25">
      <c r="A344" s="79" t="s">
        <v>274</v>
      </c>
      <c r="B344" s="3" t="s">
        <v>243</v>
      </c>
      <c r="C344" s="116"/>
      <c r="D344" s="117"/>
      <c r="E344" s="116"/>
      <c r="F344" s="116"/>
      <c r="G344" s="115"/>
    </row>
    <row r="345" spans="1:7" ht="26.4" x14ac:dyDescent="0.25">
      <c r="A345" s="77" t="s">
        <v>275</v>
      </c>
      <c r="B345" s="84" t="s">
        <v>244</v>
      </c>
      <c r="C345" s="55">
        <v>2</v>
      </c>
      <c r="D345" s="70" t="s">
        <v>3</v>
      </c>
      <c r="E345" s="93">
        <f>(28.54*1.3*0.86)*1.44</f>
        <v>45.947116799999996</v>
      </c>
      <c r="F345" s="93">
        <f t="shared" ref="F345:F353" si="4">C345*E345</f>
        <v>91.894233599999993</v>
      </c>
      <c r="G345" s="53"/>
    </row>
    <row r="346" spans="1:7" ht="27" customHeight="1" x14ac:dyDescent="0.25">
      <c r="A346" s="77" t="s">
        <v>276</v>
      </c>
      <c r="B346" s="84" t="s">
        <v>245</v>
      </c>
      <c r="C346" s="55">
        <v>2</v>
      </c>
      <c r="D346" s="70" t="s">
        <v>3</v>
      </c>
      <c r="E346" s="93">
        <f>(12.24*1.3*0.86)*1.44</f>
        <v>19.705420800000002</v>
      </c>
      <c r="F346" s="102">
        <f t="shared" si="4"/>
        <v>39.410841600000005</v>
      </c>
      <c r="G346" s="53"/>
    </row>
    <row r="347" spans="1:7" ht="26.4" x14ac:dyDescent="0.25">
      <c r="A347" s="77" t="s">
        <v>277</v>
      </c>
      <c r="B347" s="84" t="s">
        <v>234</v>
      </c>
      <c r="C347" s="55">
        <v>2</v>
      </c>
      <c r="D347" s="70" t="s">
        <v>3</v>
      </c>
      <c r="E347" s="93">
        <f>(8.13*1.3*0.86)*1.44</f>
        <v>13.0886496</v>
      </c>
      <c r="F347" s="93">
        <f t="shared" si="4"/>
        <v>26.1772992</v>
      </c>
      <c r="G347" s="53"/>
    </row>
    <row r="348" spans="1:7" x14ac:dyDescent="0.25">
      <c r="A348" s="77" t="s">
        <v>278</v>
      </c>
      <c r="B348" s="88" t="s">
        <v>246</v>
      </c>
      <c r="C348" s="55">
        <v>2</v>
      </c>
      <c r="D348" s="70" t="s">
        <v>3</v>
      </c>
      <c r="E348" s="93">
        <f>(17.97*1.3*0.86)*1.44</f>
        <v>28.9302624</v>
      </c>
      <c r="F348" s="93">
        <f t="shared" si="4"/>
        <v>57.8605248</v>
      </c>
      <c r="G348" s="53"/>
    </row>
    <row r="349" spans="1:7" x14ac:dyDescent="0.25">
      <c r="A349" s="77" t="s">
        <v>279</v>
      </c>
      <c r="B349" s="88" t="s">
        <v>247</v>
      </c>
      <c r="C349" s="55">
        <v>2</v>
      </c>
      <c r="D349" s="70" t="s">
        <v>3</v>
      </c>
      <c r="E349" s="93">
        <f>(2.22*1.3*0.86)*1.44</f>
        <v>3.5740224000000005</v>
      </c>
      <c r="F349" s="93">
        <f t="shared" si="4"/>
        <v>7.148044800000001</v>
      </c>
      <c r="G349" s="53"/>
    </row>
    <row r="350" spans="1:7" ht="26.4" x14ac:dyDescent="0.25">
      <c r="A350" s="77" t="s">
        <v>280</v>
      </c>
      <c r="B350" s="84" t="s">
        <v>248</v>
      </c>
      <c r="C350" s="55">
        <v>2</v>
      </c>
      <c r="D350" s="70" t="s">
        <v>3</v>
      </c>
      <c r="E350" s="93">
        <f>(3.9*1.3*0.86)*1.44</f>
        <v>6.2786879999999998</v>
      </c>
      <c r="F350" s="93">
        <f t="shared" si="4"/>
        <v>12.557376</v>
      </c>
      <c r="G350" s="53"/>
    </row>
    <row r="351" spans="1:7" ht="15" customHeight="1" x14ac:dyDescent="0.25">
      <c r="A351" s="77" t="s">
        <v>281</v>
      </c>
      <c r="B351" s="84" t="s">
        <v>249</v>
      </c>
      <c r="C351" s="55">
        <v>2</v>
      </c>
      <c r="D351" s="70" t="s">
        <v>3</v>
      </c>
      <c r="E351" s="93">
        <f>(3.11*1.3*0.86)*1.44</f>
        <v>5.0068511999999998</v>
      </c>
      <c r="F351" s="93">
        <f t="shared" si="4"/>
        <v>10.0137024</v>
      </c>
      <c r="G351" s="53"/>
    </row>
    <row r="352" spans="1:7" ht="26.4" x14ac:dyDescent="0.25">
      <c r="A352" s="77" t="s">
        <v>282</v>
      </c>
      <c r="B352" s="84" t="s">
        <v>228</v>
      </c>
      <c r="C352" s="55">
        <v>2</v>
      </c>
      <c r="D352" s="70" t="s">
        <v>3</v>
      </c>
      <c r="E352" s="93">
        <f>(2.44*1.3*0.86)*1.44</f>
        <v>3.9282048000000001</v>
      </c>
      <c r="F352" s="93">
        <f t="shared" si="4"/>
        <v>7.8564096000000001</v>
      </c>
      <c r="G352" s="53"/>
    </row>
    <row r="353" spans="1:7" x14ac:dyDescent="0.25">
      <c r="A353" s="77" t="s">
        <v>283</v>
      </c>
      <c r="B353" s="88" t="s">
        <v>250</v>
      </c>
      <c r="C353" s="55">
        <v>2</v>
      </c>
      <c r="D353" s="70" t="s">
        <v>3</v>
      </c>
      <c r="E353" s="93">
        <f>(2.19*1.3*0.86)*1.44</f>
        <v>3.5257247999999999</v>
      </c>
      <c r="F353" s="93">
        <f t="shared" si="4"/>
        <v>7.0514495999999998</v>
      </c>
      <c r="G353" s="53"/>
    </row>
    <row r="354" spans="1:7" x14ac:dyDescent="0.25">
      <c r="A354" s="77"/>
      <c r="B354" s="53"/>
      <c r="C354" s="55"/>
      <c r="D354" s="70"/>
      <c r="E354" s="55"/>
      <c r="F354" s="55"/>
      <c r="G354" s="53"/>
    </row>
    <row r="355" spans="1:7" s="3" customFormat="1" x14ac:dyDescent="0.25">
      <c r="A355" s="79" t="s">
        <v>284</v>
      </c>
      <c r="B355" s="3" t="s">
        <v>251</v>
      </c>
      <c r="C355" s="116"/>
      <c r="D355" s="117"/>
      <c r="E355" s="116"/>
      <c r="F355" s="149"/>
      <c r="G355" s="115"/>
    </row>
    <row r="356" spans="1:7" ht="39.6" x14ac:dyDescent="0.25">
      <c r="A356" s="77" t="s">
        <v>285</v>
      </c>
      <c r="B356" s="84" t="s">
        <v>252</v>
      </c>
      <c r="C356" s="55">
        <v>1</v>
      </c>
      <c r="D356" s="70" t="s">
        <v>3</v>
      </c>
      <c r="E356" s="93">
        <f>(28.54*1.3*0.86)*1.44</f>
        <v>45.947116799999996</v>
      </c>
      <c r="F356" s="93">
        <f>C356*E356</f>
        <v>45.947116799999996</v>
      </c>
      <c r="G356" s="52"/>
    </row>
    <row r="357" spans="1:7" x14ac:dyDescent="0.25">
      <c r="A357" s="77" t="s">
        <v>286</v>
      </c>
      <c r="B357" s="88" t="s">
        <v>253</v>
      </c>
      <c r="C357" s="55">
        <v>1</v>
      </c>
      <c r="D357" s="70" t="s">
        <v>3</v>
      </c>
      <c r="E357" s="93">
        <f>(144.44*1.3*0.86)*1.44</f>
        <v>232.53684479999995</v>
      </c>
      <c r="F357" s="93">
        <f>C357*E357</f>
        <v>232.53684479999995</v>
      </c>
      <c r="G357" s="52"/>
    </row>
    <row r="358" spans="1:7" ht="26.4" x14ac:dyDescent="0.25">
      <c r="A358" s="77" t="s">
        <v>287</v>
      </c>
      <c r="B358" s="84" t="s">
        <v>231</v>
      </c>
      <c r="C358" s="55">
        <v>1</v>
      </c>
      <c r="D358" s="70" t="s">
        <v>3</v>
      </c>
      <c r="E358" s="93">
        <f>(162.35*1.3*0.86)*1.44</f>
        <v>261.37051200000002</v>
      </c>
      <c r="F358" s="93">
        <f t="shared" ref="F358:F365" si="5">C358*E358</f>
        <v>261.37051200000002</v>
      </c>
      <c r="G358" s="53"/>
    </row>
    <row r="359" spans="1:7" ht="39.6" x14ac:dyDescent="0.25">
      <c r="A359" s="77" t="s">
        <v>288</v>
      </c>
      <c r="B359" s="84" t="s">
        <v>254</v>
      </c>
      <c r="C359" s="55">
        <v>1</v>
      </c>
      <c r="D359" s="70" t="s">
        <v>3</v>
      </c>
      <c r="E359" s="93">
        <f>(204.01*1.3*0.86)*1.44</f>
        <v>328.43977920000003</v>
      </c>
      <c r="F359" s="93">
        <f t="shared" si="5"/>
        <v>328.43977920000003</v>
      </c>
      <c r="G359" s="53"/>
    </row>
    <row r="360" spans="1:7" ht="26.4" x14ac:dyDescent="0.25">
      <c r="A360" s="77" t="s">
        <v>289</v>
      </c>
      <c r="B360" s="84" t="s">
        <v>255</v>
      </c>
      <c r="C360" s="55">
        <v>1</v>
      </c>
      <c r="D360" s="70" t="s">
        <v>3</v>
      </c>
      <c r="E360" s="93">
        <f>(49.74*1.3*0.86)*1.44</f>
        <v>80.077420799999999</v>
      </c>
      <c r="F360" s="93">
        <f t="shared" si="5"/>
        <v>80.077420799999999</v>
      </c>
      <c r="G360" s="53"/>
    </row>
    <row r="361" spans="1:7" ht="26.4" x14ac:dyDescent="0.25">
      <c r="A361" s="77" t="s">
        <v>290</v>
      </c>
      <c r="B361" s="84" t="s">
        <v>238</v>
      </c>
      <c r="C361" s="55">
        <v>1</v>
      </c>
      <c r="D361" s="70" t="s">
        <v>3</v>
      </c>
      <c r="E361" s="93">
        <f>(51.35*1.3*0.86)*1.44</f>
        <v>82.669392000000016</v>
      </c>
      <c r="F361" s="93">
        <f t="shared" si="5"/>
        <v>82.669392000000016</v>
      </c>
      <c r="G361" s="53"/>
    </row>
    <row r="362" spans="1:7" x14ac:dyDescent="0.25">
      <c r="A362" s="77" t="s">
        <v>291</v>
      </c>
      <c r="B362" s="88" t="s">
        <v>256</v>
      </c>
      <c r="C362" s="55">
        <v>1</v>
      </c>
      <c r="D362" s="70" t="s">
        <v>3</v>
      </c>
      <c r="E362" s="93">
        <f>(43.9*1.3*0.86)*1.44</f>
        <v>70.675487999999987</v>
      </c>
      <c r="F362" s="93">
        <f t="shared" si="5"/>
        <v>70.675487999999987</v>
      </c>
      <c r="G362" s="53"/>
    </row>
    <row r="363" spans="1:7" ht="26.4" x14ac:dyDescent="0.25">
      <c r="A363" s="77" t="s">
        <v>292</v>
      </c>
      <c r="B363" s="84" t="s">
        <v>257</v>
      </c>
      <c r="C363" s="55">
        <v>1</v>
      </c>
      <c r="D363" s="70" t="s">
        <v>3</v>
      </c>
      <c r="E363" s="93">
        <f>(17.97*1.3*0.86)*1.44</f>
        <v>28.9302624</v>
      </c>
      <c r="F363" s="93">
        <f t="shared" si="5"/>
        <v>28.9302624</v>
      </c>
      <c r="G363" s="53"/>
    </row>
    <row r="364" spans="1:7" x14ac:dyDescent="0.25">
      <c r="A364" s="77" t="s">
        <v>293</v>
      </c>
      <c r="B364" s="88" t="s">
        <v>258</v>
      </c>
      <c r="C364" s="55">
        <v>1</v>
      </c>
      <c r="D364" s="70" t="s">
        <v>3</v>
      </c>
      <c r="E364" s="93">
        <f>(5*1.3*0.86)*1.44</f>
        <v>8.0495999999999999</v>
      </c>
      <c r="F364" s="93">
        <f t="shared" si="5"/>
        <v>8.0495999999999999</v>
      </c>
      <c r="G364" s="53"/>
    </row>
    <row r="365" spans="1:7" x14ac:dyDescent="0.25">
      <c r="A365" s="77" t="s">
        <v>294</v>
      </c>
      <c r="B365" s="88" t="s">
        <v>259</v>
      </c>
      <c r="C365" s="55">
        <v>1</v>
      </c>
      <c r="D365" s="70" t="s">
        <v>3</v>
      </c>
      <c r="E365" s="93">
        <f>(29.5*1.3*0.86)*1.44</f>
        <v>47.492640000000002</v>
      </c>
      <c r="F365" s="93">
        <f t="shared" si="5"/>
        <v>47.492640000000002</v>
      </c>
      <c r="G365" s="53"/>
    </row>
    <row r="366" spans="1:7" x14ac:dyDescent="0.25">
      <c r="A366" s="77"/>
      <c r="B366" s="53"/>
      <c r="C366" s="55"/>
      <c r="D366" s="70"/>
      <c r="E366" s="55"/>
      <c r="F366" s="55"/>
      <c r="G366" s="53"/>
    </row>
    <row r="367" spans="1:7" s="3" customFormat="1" x14ac:dyDescent="0.25">
      <c r="A367" s="79" t="s">
        <v>295</v>
      </c>
      <c r="B367" s="3" t="s">
        <v>260</v>
      </c>
      <c r="C367" s="116"/>
      <c r="D367" s="117"/>
      <c r="E367" s="116"/>
      <c r="F367" s="116"/>
      <c r="G367" s="115"/>
    </row>
    <row r="368" spans="1:7" ht="26.4" x14ac:dyDescent="0.25">
      <c r="A368" s="77" t="s">
        <v>296</v>
      </c>
      <c r="B368" s="84" t="s">
        <v>244</v>
      </c>
      <c r="C368" s="55">
        <v>2</v>
      </c>
      <c r="D368" s="70" t="s">
        <v>3</v>
      </c>
      <c r="E368" s="93">
        <f>(28.54*1.3*0.86)*1.44</f>
        <v>45.947116799999996</v>
      </c>
      <c r="F368" s="93">
        <f t="shared" ref="F368:F377" si="6">C368*E368</f>
        <v>91.894233599999993</v>
      </c>
      <c r="G368" s="53"/>
    </row>
    <row r="369" spans="1:7" ht="26.4" x14ac:dyDescent="0.25">
      <c r="A369" s="77" t="s">
        <v>297</v>
      </c>
      <c r="B369" s="84" t="s">
        <v>231</v>
      </c>
      <c r="C369" s="55">
        <v>2</v>
      </c>
      <c r="D369" s="70" t="s">
        <v>3</v>
      </c>
      <c r="E369" s="93">
        <f>(162.35*1.3*0.86)*1.44</f>
        <v>261.37051200000002</v>
      </c>
      <c r="F369" s="93">
        <f t="shared" si="6"/>
        <v>522.74102400000004</v>
      </c>
      <c r="G369" s="53"/>
    </row>
    <row r="370" spans="1:7" ht="27.6" customHeight="1" x14ac:dyDescent="0.25">
      <c r="A370" s="77" t="s">
        <v>298</v>
      </c>
      <c r="B370" s="84" t="s">
        <v>245</v>
      </c>
      <c r="C370" s="55">
        <v>2</v>
      </c>
      <c r="D370" s="70" t="s">
        <v>3</v>
      </c>
      <c r="E370" s="93">
        <f>(12.24*1.3*0.86)*1.44</f>
        <v>19.705420800000002</v>
      </c>
      <c r="F370" s="93">
        <f t="shared" si="6"/>
        <v>39.410841600000005</v>
      </c>
      <c r="G370" s="53"/>
    </row>
    <row r="371" spans="1:7" ht="26.4" x14ac:dyDescent="0.25">
      <c r="A371" s="77" t="s">
        <v>299</v>
      </c>
      <c r="B371" s="84" t="s">
        <v>234</v>
      </c>
      <c r="C371" s="55">
        <v>2</v>
      </c>
      <c r="D371" s="70" t="s">
        <v>3</v>
      </c>
      <c r="E371" s="93">
        <f>(8.13*1.3*0.86)*1.44</f>
        <v>13.0886496</v>
      </c>
      <c r="F371" s="93">
        <f t="shared" si="6"/>
        <v>26.1772992</v>
      </c>
      <c r="G371" s="53"/>
    </row>
    <row r="372" spans="1:7" ht="26.4" x14ac:dyDescent="0.25">
      <c r="A372" s="77" t="s">
        <v>300</v>
      </c>
      <c r="B372" s="84" t="s">
        <v>248</v>
      </c>
      <c r="C372" s="55">
        <v>2</v>
      </c>
      <c r="D372" s="70" t="s">
        <v>3</v>
      </c>
      <c r="E372" s="93">
        <f>(3.9*1.3*0.86)*1.44</f>
        <v>6.2786879999999998</v>
      </c>
      <c r="F372" s="93">
        <f t="shared" si="6"/>
        <v>12.557376</v>
      </c>
      <c r="G372" s="53"/>
    </row>
    <row r="373" spans="1:7" ht="15" customHeight="1" x14ac:dyDescent="0.25">
      <c r="A373" s="77" t="s">
        <v>301</v>
      </c>
      <c r="B373" s="84" t="s">
        <v>261</v>
      </c>
      <c r="C373" s="55">
        <v>2</v>
      </c>
      <c r="D373" s="70" t="s">
        <v>3</v>
      </c>
      <c r="E373" s="93">
        <f>(5.8*1.3*0.86)*1.44</f>
        <v>9.3375360000000001</v>
      </c>
      <c r="F373" s="93">
        <f t="shared" si="6"/>
        <v>18.675072</v>
      </c>
      <c r="G373" s="53"/>
    </row>
    <row r="374" spans="1:7" ht="26.4" x14ac:dyDescent="0.25">
      <c r="A374" s="77" t="s">
        <v>302</v>
      </c>
      <c r="B374" s="84" t="s">
        <v>242</v>
      </c>
      <c r="C374" s="55">
        <v>2</v>
      </c>
      <c r="D374" s="70" t="s">
        <v>3</v>
      </c>
      <c r="E374" s="93">
        <f>(2.44*1.3*0.86)*1.44</f>
        <v>3.9282048000000001</v>
      </c>
      <c r="F374" s="93">
        <f t="shared" si="6"/>
        <v>7.8564096000000001</v>
      </c>
      <c r="G374" s="53"/>
    </row>
    <row r="375" spans="1:7" x14ac:dyDescent="0.25">
      <c r="A375" s="77" t="s">
        <v>303</v>
      </c>
      <c r="B375" s="88" t="s">
        <v>250</v>
      </c>
      <c r="C375" s="55">
        <v>2</v>
      </c>
      <c r="D375" s="70" t="s">
        <v>3</v>
      </c>
      <c r="E375" s="93">
        <f>(2.19*1.3*0.86)*1.44</f>
        <v>3.5257247999999999</v>
      </c>
      <c r="F375" s="93">
        <f t="shared" si="6"/>
        <v>7.0514495999999998</v>
      </c>
      <c r="G375" s="53"/>
    </row>
    <row r="376" spans="1:7" x14ac:dyDescent="0.25">
      <c r="A376" s="77" t="s">
        <v>304</v>
      </c>
      <c r="B376" s="88" t="s">
        <v>224</v>
      </c>
      <c r="C376" s="55">
        <v>1</v>
      </c>
      <c r="D376" s="70" t="s">
        <v>3</v>
      </c>
      <c r="E376" s="93">
        <f>(7.13*1.3*0.86)*1.44</f>
        <v>11.478729599999999</v>
      </c>
      <c r="F376" s="93">
        <f t="shared" si="6"/>
        <v>11.478729599999999</v>
      </c>
      <c r="G376" s="53"/>
    </row>
    <row r="377" spans="1:7" x14ac:dyDescent="0.25">
      <c r="A377" s="77" t="s">
        <v>305</v>
      </c>
      <c r="B377" s="88" t="s">
        <v>226</v>
      </c>
      <c r="C377" s="55">
        <v>1</v>
      </c>
      <c r="D377" s="70" t="s">
        <v>3</v>
      </c>
      <c r="E377" s="93">
        <f>(7.13*1.3*0.86)*1.44</f>
        <v>11.478729599999999</v>
      </c>
      <c r="F377" s="93">
        <f t="shared" si="6"/>
        <v>11.478729599999999</v>
      </c>
      <c r="G377" s="53"/>
    </row>
    <row r="378" spans="1:7" x14ac:dyDescent="0.25">
      <c r="A378" s="77"/>
      <c r="B378" s="53"/>
      <c r="C378" s="55"/>
      <c r="D378" s="70"/>
      <c r="E378" s="93"/>
      <c r="F378" s="93"/>
      <c r="G378" s="53"/>
    </row>
    <row r="379" spans="1:7" s="3" customFormat="1" x14ac:dyDescent="0.25">
      <c r="A379" s="79" t="s">
        <v>306</v>
      </c>
      <c r="B379" s="3" t="s">
        <v>262</v>
      </c>
      <c r="C379" s="116"/>
      <c r="D379" s="117"/>
      <c r="E379" s="121"/>
      <c r="F379" s="121"/>
      <c r="G379" s="115"/>
    </row>
    <row r="380" spans="1:7" ht="26.4" x14ac:dyDescent="0.25">
      <c r="A380" s="77" t="s">
        <v>307</v>
      </c>
      <c r="B380" s="84" t="s">
        <v>244</v>
      </c>
      <c r="C380" s="55">
        <v>8</v>
      </c>
      <c r="D380" s="70" t="s">
        <v>3</v>
      </c>
      <c r="E380" s="93">
        <f>(28.54*1.3*0.86)*1.44</f>
        <v>45.947116799999996</v>
      </c>
      <c r="F380" s="93">
        <f>C380*E380</f>
        <v>367.57693439999997</v>
      </c>
      <c r="G380" s="53"/>
    </row>
    <row r="381" spans="1:7" x14ac:dyDescent="0.25">
      <c r="A381" s="77" t="s">
        <v>308</v>
      </c>
      <c r="B381" s="88" t="s">
        <v>221</v>
      </c>
      <c r="C381" s="55">
        <v>8</v>
      </c>
      <c r="D381" s="70" t="s">
        <v>3</v>
      </c>
      <c r="E381" s="93">
        <f>(13.46*1.3*0.86)*1.44</f>
        <v>21.6695232</v>
      </c>
      <c r="F381" s="93">
        <f>C381*E381</f>
        <v>173.3561856</v>
      </c>
      <c r="G381" s="53"/>
    </row>
    <row r="382" spans="1:7" x14ac:dyDescent="0.25">
      <c r="A382" s="77"/>
      <c r="B382" s="53"/>
      <c r="C382" s="55"/>
      <c r="D382" s="70"/>
      <c r="E382" s="93"/>
      <c r="F382" s="93"/>
      <c r="G382" s="53"/>
    </row>
    <row r="383" spans="1:7" x14ac:dyDescent="0.25">
      <c r="A383" s="77"/>
      <c r="B383" s="53"/>
      <c r="C383" s="55"/>
      <c r="D383" s="70"/>
      <c r="E383" s="93"/>
      <c r="F383" s="93"/>
      <c r="G383" s="53"/>
    </row>
    <row r="384" spans="1:7" s="3" customFormat="1" x14ac:dyDescent="0.25">
      <c r="A384" s="85"/>
      <c r="B384" s="11" t="s">
        <v>7</v>
      </c>
      <c r="C384" s="12"/>
      <c r="D384" s="38"/>
      <c r="E384" s="12"/>
      <c r="F384" s="33">
        <f>SUM(F321:F383)</f>
        <v>32531.540745600003</v>
      </c>
      <c r="G384" s="37"/>
    </row>
    <row r="385" spans="1:7" s="3" customFormat="1" ht="13.8" thickBot="1" x14ac:dyDescent="0.3">
      <c r="A385" s="107"/>
      <c r="B385" s="39"/>
      <c r="C385" s="108"/>
      <c r="D385" s="109"/>
      <c r="E385" s="108"/>
      <c r="F385" s="110"/>
      <c r="G385" s="111"/>
    </row>
    <row r="386" spans="1:7" s="3" customFormat="1" ht="13.8" thickBot="1" x14ac:dyDescent="0.3">
      <c r="A386" s="150"/>
      <c r="B386" s="151" t="s">
        <v>759</v>
      </c>
      <c r="C386" s="152"/>
      <c r="D386" s="153"/>
      <c r="E386" s="152"/>
      <c r="F386" s="154">
        <f>F288+F296+F318+F384</f>
        <v>117937.485387072</v>
      </c>
      <c r="G386" s="155"/>
    </row>
    <row r="387" spans="1:7" x14ac:dyDescent="0.25">
      <c r="E387" s="98"/>
      <c r="F387" s="98"/>
    </row>
    <row r="388" spans="1:7" s="63" customFormat="1" ht="15.6" x14ac:dyDescent="0.3">
      <c r="A388" s="73">
        <v>25</v>
      </c>
      <c r="B388" s="40" t="s">
        <v>263</v>
      </c>
      <c r="C388" s="59"/>
      <c r="D388" s="60"/>
      <c r="E388" s="162"/>
      <c r="F388" s="162"/>
      <c r="G388" s="40"/>
    </row>
    <row r="389" spans="1:7" s="65" customFormat="1" ht="13.8" x14ac:dyDescent="0.25">
      <c r="A389" s="78">
        <v>25.3</v>
      </c>
      <c r="B389" s="66" t="s">
        <v>264</v>
      </c>
      <c r="C389" s="68" t="s">
        <v>0</v>
      </c>
      <c r="D389" s="68" t="s">
        <v>5</v>
      </c>
      <c r="E389" s="68" t="s">
        <v>10</v>
      </c>
      <c r="F389" s="69" t="s">
        <v>6</v>
      </c>
      <c r="G389" s="66"/>
    </row>
    <row r="390" spans="1:7" s="3" customFormat="1" x14ac:dyDescent="0.25">
      <c r="A390" s="79" t="s">
        <v>309</v>
      </c>
      <c r="B390" s="115" t="s">
        <v>310</v>
      </c>
      <c r="C390" s="116"/>
      <c r="D390" s="117"/>
      <c r="E390" s="121"/>
      <c r="F390" s="121"/>
      <c r="G390" s="115"/>
    </row>
    <row r="391" spans="1:7" ht="26.4" x14ac:dyDescent="0.25">
      <c r="A391" s="77"/>
      <c r="B391" s="84" t="s">
        <v>311</v>
      </c>
      <c r="C391" s="55"/>
      <c r="D391" s="70"/>
      <c r="E391" s="93"/>
      <c r="F391" s="93"/>
      <c r="G391" s="53"/>
    </row>
    <row r="392" spans="1:7" x14ac:dyDescent="0.25">
      <c r="A392" s="77" t="s">
        <v>313</v>
      </c>
      <c r="B392" s="88" t="s">
        <v>312</v>
      </c>
      <c r="C392" s="55">
        <f>23.13+5</f>
        <v>28.13</v>
      </c>
      <c r="D392" s="70" t="s">
        <v>1</v>
      </c>
      <c r="E392" s="93">
        <f>(711.79*1.3*0.86)*1.44</f>
        <v>1145.9249567999998</v>
      </c>
      <c r="F392" s="93">
        <f>C392*E392</f>
        <v>32234.869034783995</v>
      </c>
      <c r="G392" s="53"/>
    </row>
    <row r="393" spans="1:7" x14ac:dyDescent="0.25">
      <c r="A393" s="77"/>
      <c r="B393" s="53"/>
      <c r="C393" s="55"/>
      <c r="D393" s="70"/>
      <c r="E393" s="93"/>
      <c r="F393" s="93"/>
      <c r="G393" s="53"/>
    </row>
    <row r="394" spans="1:7" s="3" customFormat="1" x14ac:dyDescent="0.25">
      <c r="A394" s="79" t="s">
        <v>315</v>
      </c>
      <c r="B394" s="3" t="s">
        <v>314</v>
      </c>
      <c r="C394" s="116"/>
      <c r="D394" s="117"/>
      <c r="E394" s="121"/>
      <c r="F394" s="121"/>
      <c r="G394" s="115"/>
    </row>
    <row r="395" spans="1:7" x14ac:dyDescent="0.25">
      <c r="A395" s="77"/>
      <c r="B395" s="88" t="s">
        <v>316</v>
      </c>
      <c r="C395" s="55"/>
      <c r="D395" s="70"/>
      <c r="E395" s="93"/>
      <c r="F395" s="93"/>
      <c r="G395" s="53"/>
    </row>
    <row r="396" spans="1:7" x14ac:dyDescent="0.25">
      <c r="A396" s="77" t="s">
        <v>318</v>
      </c>
      <c r="B396" s="88" t="s">
        <v>317</v>
      </c>
      <c r="C396" s="55">
        <v>8.4600000000000009</v>
      </c>
      <c r="D396" s="70" t="s">
        <v>1</v>
      </c>
      <c r="E396" s="93">
        <f>(130.49*1.3*0.86)*1.44</f>
        <v>210.07846080000004</v>
      </c>
      <c r="F396" s="93">
        <f>C396*E396</f>
        <v>1777.2637783680007</v>
      </c>
      <c r="G396" s="53" t="s">
        <v>1260</v>
      </c>
    </row>
    <row r="397" spans="1:7" x14ac:dyDescent="0.25">
      <c r="A397" s="77"/>
      <c r="B397" s="53"/>
      <c r="C397" s="55"/>
      <c r="D397" s="70"/>
      <c r="E397" s="93"/>
      <c r="F397" s="93"/>
      <c r="G397" s="53"/>
    </row>
    <row r="398" spans="1:7" x14ac:dyDescent="0.25">
      <c r="A398" s="77"/>
      <c r="B398" s="53"/>
      <c r="C398" s="55"/>
      <c r="D398" s="70"/>
      <c r="E398" s="93"/>
      <c r="F398" s="93"/>
      <c r="G398" s="53"/>
    </row>
    <row r="399" spans="1:7" s="3" customFormat="1" x14ac:dyDescent="0.25">
      <c r="A399" s="85"/>
      <c r="B399" s="11" t="s">
        <v>7</v>
      </c>
      <c r="C399" s="12"/>
      <c r="D399" s="38"/>
      <c r="E399" s="12"/>
      <c r="F399" s="33">
        <f>SUM(F390:F398)</f>
        <v>34012.132813151999</v>
      </c>
      <c r="G399" s="37"/>
    </row>
    <row r="400" spans="1:7" s="3" customFormat="1" ht="13.8" thickBot="1" x14ac:dyDescent="0.3">
      <c r="A400" s="107"/>
      <c r="B400" s="39"/>
      <c r="C400" s="108"/>
      <c r="D400" s="109"/>
      <c r="E400" s="108"/>
      <c r="F400" s="110"/>
      <c r="G400" s="111"/>
    </row>
    <row r="401" spans="1:7" s="3" customFormat="1" ht="13.8" thickBot="1" x14ac:dyDescent="0.3">
      <c r="A401" s="150"/>
      <c r="B401" s="151" t="s">
        <v>759</v>
      </c>
      <c r="C401" s="152"/>
      <c r="D401" s="153"/>
      <c r="E401" s="152"/>
      <c r="F401" s="154">
        <f>F399</f>
        <v>34012.132813151999</v>
      </c>
      <c r="G401" s="155"/>
    </row>
    <row r="402" spans="1:7" x14ac:dyDescent="0.25">
      <c r="E402" s="98"/>
      <c r="F402" s="98"/>
    </row>
    <row r="403" spans="1:7" s="63" customFormat="1" ht="15.6" x14ac:dyDescent="0.3">
      <c r="A403" s="73">
        <v>27</v>
      </c>
      <c r="B403" s="40" t="s">
        <v>319</v>
      </c>
      <c r="C403" s="59"/>
      <c r="D403" s="60"/>
      <c r="E403" s="162"/>
      <c r="F403" s="162"/>
      <c r="G403" s="40"/>
    </row>
    <row r="404" spans="1:7" s="65" customFormat="1" ht="13.8" x14ac:dyDescent="0.25">
      <c r="A404" s="78">
        <v>27.5</v>
      </c>
      <c r="B404" s="66" t="s">
        <v>320</v>
      </c>
      <c r="C404" s="68" t="s">
        <v>0</v>
      </c>
      <c r="D404" s="68" t="s">
        <v>5</v>
      </c>
      <c r="E404" s="68" t="s">
        <v>10</v>
      </c>
      <c r="F404" s="69" t="s">
        <v>6</v>
      </c>
      <c r="G404" s="66"/>
    </row>
    <row r="405" spans="1:7" s="3" customFormat="1" x14ac:dyDescent="0.25">
      <c r="A405" s="79" t="s">
        <v>322</v>
      </c>
      <c r="B405" s="3" t="s">
        <v>321</v>
      </c>
      <c r="C405" s="116"/>
      <c r="D405" s="117"/>
      <c r="E405" s="121"/>
      <c r="F405" s="121"/>
      <c r="G405" s="115"/>
    </row>
    <row r="406" spans="1:7" x14ac:dyDescent="0.25">
      <c r="A406" s="77"/>
      <c r="B406" s="88" t="s">
        <v>323</v>
      </c>
      <c r="C406" s="55"/>
      <c r="D406" s="70"/>
      <c r="E406" s="93"/>
      <c r="F406" s="93"/>
      <c r="G406" s="53"/>
    </row>
    <row r="407" spans="1:7" x14ac:dyDescent="0.25">
      <c r="A407" s="77" t="s">
        <v>770</v>
      </c>
      <c r="B407" s="88" t="s">
        <v>326</v>
      </c>
      <c r="C407" s="55">
        <v>2</v>
      </c>
      <c r="D407" s="70" t="s">
        <v>3</v>
      </c>
      <c r="E407" s="93">
        <f>(30.22*1.3*0.86)*1.44</f>
        <v>48.651782400000002</v>
      </c>
      <c r="F407" s="93">
        <f>C407*E407</f>
        <v>97.303564800000004</v>
      </c>
      <c r="G407" s="53" t="s">
        <v>1261</v>
      </c>
    </row>
    <row r="408" spans="1:7" x14ac:dyDescent="0.25">
      <c r="A408" s="77" t="s">
        <v>771</v>
      </c>
      <c r="B408" s="88" t="s">
        <v>325</v>
      </c>
      <c r="C408" s="55">
        <v>1</v>
      </c>
      <c r="D408" s="70" t="s">
        <v>3</v>
      </c>
      <c r="E408" s="93">
        <f>(120.98*1.3*0.86)*1.44</f>
        <v>194.7681216</v>
      </c>
      <c r="F408" s="93">
        <f>C408*E408</f>
        <v>194.7681216</v>
      </c>
      <c r="G408" s="53"/>
    </row>
    <row r="409" spans="1:7" x14ac:dyDescent="0.25">
      <c r="A409" s="77" t="s">
        <v>772</v>
      </c>
      <c r="B409" s="53" t="s">
        <v>324</v>
      </c>
      <c r="C409" s="55">
        <v>1</v>
      </c>
      <c r="D409" s="70" t="s">
        <v>3</v>
      </c>
      <c r="E409" s="93">
        <f>(280.97*1.3*0.86)*1.44</f>
        <v>452.33922239999998</v>
      </c>
      <c r="F409" s="93">
        <f>C409*E409</f>
        <v>452.33922239999998</v>
      </c>
      <c r="G409" s="53"/>
    </row>
    <row r="410" spans="1:7" x14ac:dyDescent="0.25">
      <c r="A410" s="77"/>
      <c r="B410" s="53"/>
      <c r="C410" s="55"/>
      <c r="D410" s="70"/>
      <c r="E410" s="55"/>
      <c r="F410" s="55"/>
      <c r="G410" s="53"/>
    </row>
    <row r="411" spans="1:7" s="3" customFormat="1" x14ac:dyDescent="0.25">
      <c r="A411" s="85"/>
      <c r="B411" s="11" t="s">
        <v>7</v>
      </c>
      <c r="C411" s="12"/>
      <c r="D411" s="38"/>
      <c r="E411" s="12"/>
      <c r="F411" s="33">
        <f>SUM(F405:F410)</f>
        <v>744.41090880000002</v>
      </c>
      <c r="G411" s="37"/>
    </row>
    <row r="412" spans="1:7" s="3" customFormat="1" ht="13.8" thickBot="1" x14ac:dyDescent="0.3">
      <c r="A412" s="107"/>
      <c r="B412" s="39"/>
      <c r="C412" s="108"/>
      <c r="D412" s="109"/>
      <c r="E412" s="108"/>
      <c r="F412" s="110"/>
      <c r="G412" s="111"/>
    </row>
    <row r="413" spans="1:7" s="3" customFormat="1" ht="13.8" thickBot="1" x14ac:dyDescent="0.3">
      <c r="A413" s="150"/>
      <c r="B413" s="151" t="s">
        <v>759</v>
      </c>
      <c r="C413" s="152"/>
      <c r="D413" s="153"/>
      <c r="E413" s="152"/>
      <c r="F413" s="154">
        <f>F411</f>
        <v>744.41090880000002</v>
      </c>
      <c r="G413" s="155"/>
    </row>
    <row r="415" spans="1:7" s="63" customFormat="1" ht="15.6" x14ac:dyDescent="0.3">
      <c r="A415" s="73">
        <v>28</v>
      </c>
      <c r="B415" s="40" t="s">
        <v>327</v>
      </c>
      <c r="C415" s="59"/>
      <c r="D415" s="60"/>
      <c r="E415" s="59"/>
      <c r="F415" s="59"/>
      <c r="G415" s="40"/>
    </row>
    <row r="416" spans="1:7" s="65" customFormat="1" ht="13.8" x14ac:dyDescent="0.25">
      <c r="A416" s="78">
        <v>28.2</v>
      </c>
      <c r="B416" s="66" t="s">
        <v>328</v>
      </c>
      <c r="C416" s="68" t="s">
        <v>0</v>
      </c>
      <c r="D416" s="68" t="s">
        <v>5</v>
      </c>
      <c r="E416" s="68" t="s">
        <v>10</v>
      </c>
      <c r="F416" s="69" t="s">
        <v>6</v>
      </c>
      <c r="G416" s="66"/>
    </row>
    <row r="417" spans="1:7" s="3" customFormat="1" ht="39.6" x14ac:dyDescent="0.25">
      <c r="A417" s="79" t="s">
        <v>330</v>
      </c>
      <c r="B417" s="87" t="s">
        <v>329</v>
      </c>
      <c r="C417" s="116"/>
      <c r="D417" s="117"/>
      <c r="E417" s="121"/>
      <c r="F417" s="121"/>
      <c r="G417" s="115"/>
    </row>
    <row r="418" spans="1:7" ht="26.4" x14ac:dyDescent="0.25">
      <c r="A418" s="77"/>
      <c r="B418" s="84" t="s">
        <v>331</v>
      </c>
      <c r="C418" s="55"/>
      <c r="D418" s="70"/>
      <c r="E418" s="93"/>
      <c r="F418" s="93"/>
      <c r="G418" s="53"/>
    </row>
    <row r="419" spans="1:7" ht="26.4" x14ac:dyDescent="0.25">
      <c r="A419" s="77" t="s">
        <v>333</v>
      </c>
      <c r="B419" s="84" t="s">
        <v>332</v>
      </c>
      <c r="C419" s="55">
        <v>858.87</v>
      </c>
      <c r="D419" s="70" t="s">
        <v>56</v>
      </c>
      <c r="E419" s="93">
        <f>(42.22*1.3*0.86)*1.44</f>
        <v>67.970822400000003</v>
      </c>
      <c r="F419" s="93">
        <f>C419*E419</f>
        <v>58378.100234688005</v>
      </c>
      <c r="G419" s="53" t="s">
        <v>1262</v>
      </c>
    </row>
    <row r="420" spans="1:7" x14ac:dyDescent="0.25">
      <c r="A420" s="77"/>
      <c r="B420" s="53"/>
      <c r="C420" s="55"/>
      <c r="D420" s="70"/>
      <c r="E420" s="93"/>
      <c r="F420" s="93"/>
      <c r="G420" s="53"/>
    </row>
    <row r="421" spans="1:7" x14ac:dyDescent="0.25">
      <c r="A421" s="77"/>
      <c r="B421" s="53"/>
      <c r="C421" s="55"/>
      <c r="D421" s="70"/>
      <c r="E421" s="93"/>
      <c r="F421" s="93"/>
      <c r="G421" s="53"/>
    </row>
    <row r="422" spans="1:7" s="3" customFormat="1" x14ac:dyDescent="0.25">
      <c r="A422" s="85"/>
      <c r="B422" s="11" t="s">
        <v>7</v>
      </c>
      <c r="C422" s="12"/>
      <c r="D422" s="38"/>
      <c r="E422" s="12"/>
      <c r="F422" s="33">
        <f>SUM(F417:F421)</f>
        <v>58378.100234688005</v>
      </c>
      <c r="G422" s="37"/>
    </row>
    <row r="423" spans="1:7" x14ac:dyDescent="0.25">
      <c r="E423" s="98"/>
      <c r="F423" s="98"/>
    </row>
    <row r="424" spans="1:7" s="65" customFormat="1" ht="13.8" x14ac:dyDescent="0.25">
      <c r="A424" s="78">
        <v>28.4</v>
      </c>
      <c r="B424" s="66" t="s">
        <v>334</v>
      </c>
      <c r="C424" s="68" t="s">
        <v>0</v>
      </c>
      <c r="D424" s="68" t="s">
        <v>5</v>
      </c>
      <c r="E424" s="68" t="s">
        <v>10</v>
      </c>
      <c r="F424" s="69" t="s">
        <v>6</v>
      </c>
      <c r="G424" s="66"/>
    </row>
    <row r="425" spans="1:7" s="3" customFormat="1" ht="26.4" x14ac:dyDescent="0.25">
      <c r="A425" s="79" t="s">
        <v>336</v>
      </c>
      <c r="B425" s="87" t="s">
        <v>335</v>
      </c>
      <c r="C425" s="116"/>
      <c r="D425" s="117"/>
      <c r="E425" s="121"/>
      <c r="F425" s="121"/>
      <c r="G425" s="115"/>
    </row>
    <row r="426" spans="1:7" x14ac:dyDescent="0.25">
      <c r="A426" s="77"/>
      <c r="B426" s="88" t="s">
        <v>337</v>
      </c>
      <c r="C426" s="55"/>
      <c r="D426" s="70"/>
      <c r="E426" s="93"/>
      <c r="F426" s="93"/>
      <c r="G426" s="53"/>
    </row>
    <row r="427" spans="1:7" x14ac:dyDescent="0.25">
      <c r="A427" s="77" t="s">
        <v>340</v>
      </c>
      <c r="B427" s="88" t="s">
        <v>338</v>
      </c>
      <c r="C427" s="55">
        <v>1519.39</v>
      </c>
      <c r="D427" s="70" t="s">
        <v>56</v>
      </c>
      <c r="E427" s="93">
        <f>(41.32*1.3*0.86)*1.44</f>
        <v>66.521894399999994</v>
      </c>
      <c r="F427" s="93">
        <f>C427*E427</f>
        <v>101072.701132416</v>
      </c>
      <c r="G427" s="53" t="s">
        <v>1263</v>
      </c>
    </row>
    <row r="428" spans="1:7" x14ac:dyDescent="0.25">
      <c r="A428" s="77"/>
      <c r="B428" s="53"/>
      <c r="C428" s="55"/>
      <c r="D428" s="70"/>
      <c r="E428" s="93"/>
      <c r="F428" s="93"/>
      <c r="G428" s="53"/>
    </row>
    <row r="429" spans="1:7" s="3" customFormat="1" x14ac:dyDescent="0.25">
      <c r="A429" s="79" t="s">
        <v>341</v>
      </c>
      <c r="B429" s="3" t="s">
        <v>339</v>
      </c>
      <c r="C429" s="116"/>
      <c r="D429" s="117"/>
      <c r="E429" s="121"/>
      <c r="F429" s="121"/>
      <c r="G429" s="115"/>
    </row>
    <row r="430" spans="1:7" x14ac:dyDescent="0.25">
      <c r="A430" s="77"/>
      <c r="B430" s="88" t="s">
        <v>342</v>
      </c>
      <c r="C430" s="55"/>
      <c r="D430" s="70"/>
      <c r="E430" s="93"/>
      <c r="F430" s="93"/>
      <c r="G430" s="53"/>
    </row>
    <row r="431" spans="1:7" x14ac:dyDescent="0.25">
      <c r="A431" s="77" t="s">
        <v>343</v>
      </c>
      <c r="B431" s="88" t="s">
        <v>344</v>
      </c>
      <c r="C431" s="55">
        <v>2</v>
      </c>
      <c r="D431" s="70" t="s">
        <v>3</v>
      </c>
      <c r="E431" s="93">
        <f>(2168.72*1.3*0.86)*1.44</f>
        <v>3491.4657023999994</v>
      </c>
      <c r="F431" s="93">
        <f>C431*E431</f>
        <v>6982.9314047999987</v>
      </c>
      <c r="G431" s="53"/>
    </row>
    <row r="432" spans="1:7" x14ac:dyDescent="0.25">
      <c r="A432" s="77"/>
      <c r="B432" s="53"/>
      <c r="C432" s="55"/>
      <c r="D432" s="70"/>
      <c r="E432" s="93"/>
      <c r="F432" s="93"/>
      <c r="G432" s="53"/>
    </row>
    <row r="433" spans="1:7" x14ac:dyDescent="0.25">
      <c r="A433" s="77"/>
      <c r="B433" s="53"/>
      <c r="C433" s="55"/>
      <c r="D433" s="70"/>
      <c r="E433" s="93"/>
      <c r="F433" s="93"/>
      <c r="G433" s="53"/>
    </row>
    <row r="434" spans="1:7" s="3" customFormat="1" x14ac:dyDescent="0.25">
      <c r="A434" s="85"/>
      <c r="B434" s="11" t="s">
        <v>7</v>
      </c>
      <c r="C434" s="12"/>
      <c r="D434" s="38"/>
      <c r="E434" s="12"/>
      <c r="F434" s="33">
        <f>SUM(F425:F433)</f>
        <v>108055.63253721599</v>
      </c>
      <c r="G434" s="37"/>
    </row>
    <row r="435" spans="1:7" x14ac:dyDescent="0.25">
      <c r="E435" s="98"/>
      <c r="F435" s="98"/>
    </row>
    <row r="436" spans="1:7" s="65" customFormat="1" ht="13.8" x14ac:dyDescent="0.25">
      <c r="A436" s="78">
        <v>28.6</v>
      </c>
      <c r="B436" s="66" t="s">
        <v>345</v>
      </c>
      <c r="C436" s="68" t="s">
        <v>0</v>
      </c>
      <c r="D436" s="68" t="s">
        <v>5</v>
      </c>
      <c r="E436" s="68" t="s">
        <v>10</v>
      </c>
      <c r="F436" s="69" t="s">
        <v>6</v>
      </c>
      <c r="G436" s="66"/>
    </row>
    <row r="437" spans="1:7" s="3" customFormat="1" ht="26.4" x14ac:dyDescent="0.25">
      <c r="A437" s="79" t="s">
        <v>347</v>
      </c>
      <c r="B437" s="87" t="s">
        <v>346</v>
      </c>
      <c r="C437" s="116"/>
      <c r="D437" s="117"/>
      <c r="E437" s="121"/>
      <c r="F437" s="121"/>
      <c r="G437" s="115"/>
    </row>
    <row r="438" spans="1:7" x14ac:dyDescent="0.25">
      <c r="A438" s="77"/>
      <c r="B438" s="88" t="s">
        <v>348</v>
      </c>
      <c r="C438" s="55"/>
      <c r="D438" s="70"/>
      <c r="E438" s="93"/>
      <c r="F438" s="93"/>
      <c r="G438" s="53"/>
    </row>
    <row r="439" spans="1:7" x14ac:dyDescent="0.25">
      <c r="A439" s="77" t="s">
        <v>350</v>
      </c>
      <c r="B439" s="88" t="s">
        <v>349</v>
      </c>
      <c r="C439" s="55">
        <v>29.98</v>
      </c>
      <c r="D439" s="70" t="s">
        <v>56</v>
      </c>
      <c r="E439" s="93">
        <f>(17.59*1.3*0.86)*1.44</f>
        <v>28.318492800000001</v>
      </c>
      <c r="F439" s="93">
        <f>C439*E439</f>
        <v>848.9884141440001</v>
      </c>
      <c r="G439" s="53" t="s">
        <v>1264</v>
      </c>
    </row>
    <row r="440" spans="1:7" x14ac:dyDescent="0.25">
      <c r="A440" s="77"/>
      <c r="B440" s="53"/>
      <c r="C440" s="55"/>
      <c r="D440" s="70"/>
      <c r="E440" s="93"/>
      <c r="G440" s="53"/>
    </row>
    <row r="441" spans="1:7" x14ac:dyDescent="0.25">
      <c r="A441" s="77"/>
      <c r="B441" s="53"/>
      <c r="C441" s="55"/>
      <c r="D441" s="70"/>
      <c r="E441" s="93"/>
      <c r="F441" s="93"/>
      <c r="G441" s="53"/>
    </row>
    <row r="442" spans="1:7" s="3" customFormat="1" x14ac:dyDescent="0.25">
      <c r="A442" s="85"/>
      <c r="B442" s="11" t="s">
        <v>7</v>
      </c>
      <c r="C442" s="12"/>
      <c r="D442" s="38"/>
      <c r="E442" s="12"/>
      <c r="F442" s="33">
        <f>SUM(F437:F441)</f>
        <v>848.9884141440001</v>
      </c>
      <c r="G442" s="37"/>
    </row>
    <row r="443" spans="1:7" x14ac:dyDescent="0.25">
      <c r="E443" s="98"/>
      <c r="F443" s="98"/>
    </row>
    <row r="444" spans="1:7" s="65" customFormat="1" ht="13.8" x14ac:dyDescent="0.25">
      <c r="A444" s="78">
        <v>28.11</v>
      </c>
      <c r="B444" s="66" t="s">
        <v>351</v>
      </c>
      <c r="C444" s="68" t="s">
        <v>0</v>
      </c>
      <c r="D444" s="68" t="s">
        <v>5</v>
      </c>
      <c r="E444" s="68" t="s">
        <v>10</v>
      </c>
      <c r="F444" s="69" t="s">
        <v>6</v>
      </c>
      <c r="G444" s="66"/>
    </row>
    <row r="445" spans="1:7" s="3" customFormat="1" ht="39.6" x14ac:dyDescent="0.25">
      <c r="A445" s="79" t="s">
        <v>352</v>
      </c>
      <c r="B445" s="87" t="s">
        <v>353</v>
      </c>
      <c r="C445" s="116"/>
      <c r="D445" s="117"/>
      <c r="E445" s="121"/>
      <c r="F445" s="121"/>
      <c r="G445" s="115"/>
    </row>
    <row r="446" spans="1:7" x14ac:dyDescent="0.25">
      <c r="A446" s="77"/>
      <c r="B446" s="88" t="s">
        <v>354</v>
      </c>
      <c r="C446" s="55"/>
      <c r="D446" s="70"/>
      <c r="E446" s="93"/>
      <c r="F446" s="93"/>
      <c r="G446" s="53"/>
    </row>
    <row r="447" spans="1:7" x14ac:dyDescent="0.25">
      <c r="A447" s="77" t="s">
        <v>363</v>
      </c>
      <c r="B447" s="88" t="s">
        <v>355</v>
      </c>
      <c r="C447" s="71">
        <v>2.875</v>
      </c>
      <c r="D447" s="70" t="s">
        <v>56</v>
      </c>
      <c r="E447" s="93">
        <f>(37.09*1.3*0.86)*1.44</f>
        <v>59.711932800000007</v>
      </c>
      <c r="F447" s="93">
        <f>C447*E447</f>
        <v>171.67180680000001</v>
      </c>
      <c r="G447" s="53" t="s">
        <v>1265</v>
      </c>
    </row>
    <row r="448" spans="1:7" x14ac:dyDescent="0.25">
      <c r="A448" s="77"/>
      <c r="B448" s="53"/>
      <c r="C448" s="55"/>
      <c r="D448" s="70"/>
      <c r="E448" s="93"/>
      <c r="F448" s="93"/>
      <c r="G448" s="53"/>
    </row>
    <row r="449" spans="1:7" x14ac:dyDescent="0.25">
      <c r="A449" s="77"/>
      <c r="B449" s="53"/>
      <c r="C449" s="55"/>
      <c r="D449" s="70"/>
      <c r="E449" s="93"/>
      <c r="F449" s="93"/>
      <c r="G449" s="53"/>
    </row>
    <row r="450" spans="1:7" s="3" customFormat="1" x14ac:dyDescent="0.25">
      <c r="A450" s="85"/>
      <c r="B450" s="11" t="s">
        <v>7</v>
      </c>
      <c r="C450" s="12"/>
      <c r="D450" s="38"/>
      <c r="E450" s="12"/>
      <c r="F450" s="33">
        <f>SUM(F445:F449)</f>
        <v>171.67180680000001</v>
      </c>
      <c r="G450" s="37"/>
    </row>
    <row r="451" spans="1:7" x14ac:dyDescent="0.25">
      <c r="A451" s="129"/>
      <c r="F451" s="81"/>
      <c r="G451" s="130"/>
    </row>
    <row r="452" spans="1:7" s="65" customFormat="1" ht="13.8" x14ac:dyDescent="0.25">
      <c r="A452" s="78">
        <v>28.17</v>
      </c>
      <c r="B452" s="66" t="s">
        <v>720</v>
      </c>
      <c r="C452" s="68" t="s">
        <v>0</v>
      </c>
      <c r="D452" s="68" t="s">
        <v>5</v>
      </c>
      <c r="E452" s="68" t="s">
        <v>10</v>
      </c>
      <c r="F452" s="69" t="s">
        <v>6</v>
      </c>
      <c r="G452" s="66"/>
    </row>
    <row r="453" spans="1:7" s="3" customFormat="1" x14ac:dyDescent="0.25">
      <c r="A453" s="79" t="s">
        <v>724</v>
      </c>
      <c r="B453" s="87" t="s">
        <v>721</v>
      </c>
      <c r="C453" s="116"/>
      <c r="D453" s="117"/>
      <c r="E453" s="121"/>
      <c r="F453" s="121"/>
      <c r="G453" s="115"/>
    </row>
    <row r="454" spans="1:7" ht="13.2" customHeight="1" x14ac:dyDescent="0.25">
      <c r="A454" s="77"/>
      <c r="B454" s="84" t="s">
        <v>723</v>
      </c>
      <c r="C454" s="55"/>
      <c r="D454" s="70"/>
      <c r="E454" s="93"/>
      <c r="F454" s="93"/>
      <c r="G454" s="53"/>
    </row>
    <row r="455" spans="1:7" x14ac:dyDescent="0.25">
      <c r="A455" s="77" t="s">
        <v>773</v>
      </c>
      <c r="B455" s="88" t="s">
        <v>722</v>
      </c>
      <c r="C455" s="55">
        <v>307</v>
      </c>
      <c r="D455" s="70" t="s">
        <v>3</v>
      </c>
      <c r="E455" s="93">
        <f>(221.51*1.3*0.86)*1.44</f>
        <v>356.6133792</v>
      </c>
      <c r="F455" s="93">
        <f>C455*E455</f>
        <v>109480.3074144</v>
      </c>
      <c r="G455" s="53" t="s">
        <v>1266</v>
      </c>
    </row>
    <row r="456" spans="1:7" x14ac:dyDescent="0.25">
      <c r="A456" s="77"/>
      <c r="B456" s="53"/>
      <c r="C456" s="55"/>
      <c r="D456" s="70"/>
      <c r="E456" s="93"/>
      <c r="F456" s="93"/>
      <c r="G456" s="53"/>
    </row>
    <row r="457" spans="1:7" x14ac:dyDescent="0.25">
      <c r="A457" s="77"/>
      <c r="B457" s="53"/>
      <c r="C457" s="55"/>
      <c r="D457" s="70"/>
      <c r="E457" s="93"/>
      <c r="F457" s="93"/>
      <c r="G457" s="53"/>
    </row>
    <row r="458" spans="1:7" s="3" customFormat="1" x14ac:dyDescent="0.25">
      <c r="A458" s="85"/>
      <c r="B458" s="11" t="s">
        <v>7</v>
      </c>
      <c r="C458" s="12"/>
      <c r="D458" s="38"/>
      <c r="E458" s="12"/>
      <c r="F458" s="33">
        <f>SUM(F453:F457)</f>
        <v>109480.3074144</v>
      </c>
      <c r="G458" s="37"/>
    </row>
    <row r="459" spans="1:7" s="3" customFormat="1" ht="13.8" thickBot="1" x14ac:dyDescent="0.3">
      <c r="A459" s="107"/>
      <c r="B459" s="39"/>
      <c r="C459" s="108"/>
      <c r="D459" s="109"/>
      <c r="E459" s="108"/>
      <c r="F459" s="110"/>
      <c r="G459" s="111"/>
    </row>
    <row r="460" spans="1:7" s="3" customFormat="1" ht="13.8" thickBot="1" x14ac:dyDescent="0.3">
      <c r="A460" s="150"/>
      <c r="B460" s="151" t="s">
        <v>759</v>
      </c>
      <c r="C460" s="152"/>
      <c r="D460" s="153"/>
      <c r="E460" s="152"/>
      <c r="F460" s="154">
        <f>F422+F434+F442+F450+F458</f>
        <v>276934.70040724799</v>
      </c>
      <c r="G460" s="155"/>
    </row>
    <row r="461" spans="1:7" x14ac:dyDescent="0.25">
      <c r="A461" s="129"/>
      <c r="F461" s="81"/>
      <c r="G461" s="130"/>
    </row>
    <row r="462" spans="1:7" s="63" customFormat="1" ht="15.6" x14ac:dyDescent="0.3">
      <c r="A462" s="73">
        <v>29</v>
      </c>
      <c r="B462" s="40" t="s">
        <v>356</v>
      </c>
      <c r="C462" s="59"/>
      <c r="D462" s="60"/>
      <c r="E462" s="162"/>
      <c r="F462" s="162"/>
      <c r="G462" s="40"/>
    </row>
    <row r="463" spans="1:7" s="65" customFormat="1" ht="13.8" x14ac:dyDescent="0.25">
      <c r="A463" s="78">
        <v>29.3</v>
      </c>
      <c r="B463" s="66" t="s">
        <v>357</v>
      </c>
      <c r="C463" s="68" t="s">
        <v>0</v>
      </c>
      <c r="D463" s="68" t="s">
        <v>5</v>
      </c>
      <c r="E463" s="68" t="s">
        <v>10</v>
      </c>
      <c r="F463" s="69" t="s">
        <v>6</v>
      </c>
      <c r="G463" s="66"/>
    </row>
    <row r="464" spans="1:7" s="3" customFormat="1" ht="26.4" x14ac:dyDescent="0.25">
      <c r="A464" s="79" t="s">
        <v>359</v>
      </c>
      <c r="B464" s="87" t="s">
        <v>358</v>
      </c>
      <c r="C464" s="116"/>
      <c r="D464" s="117"/>
      <c r="E464" s="121"/>
      <c r="F464" s="121"/>
      <c r="G464" s="115"/>
    </row>
    <row r="465" spans="1:7" x14ac:dyDescent="0.25">
      <c r="A465" s="77"/>
      <c r="B465" s="88" t="s">
        <v>360</v>
      </c>
      <c r="C465" s="55"/>
      <c r="D465" s="70"/>
      <c r="E465" s="93"/>
      <c r="F465" s="93"/>
      <c r="G465" s="53"/>
    </row>
    <row r="466" spans="1:7" x14ac:dyDescent="0.25">
      <c r="A466" s="77" t="s">
        <v>362</v>
      </c>
      <c r="B466" s="88" t="s">
        <v>829</v>
      </c>
      <c r="C466" s="71">
        <v>1136.5999999999999</v>
      </c>
      <c r="D466" s="70" t="s">
        <v>1</v>
      </c>
      <c r="E466" s="93">
        <f>(3.34*1.3*0.86)*1.44</f>
        <v>5.3771327999999992</v>
      </c>
      <c r="F466" s="93">
        <f>C466*E466</f>
        <v>6111.649140479999</v>
      </c>
      <c r="G466" s="53"/>
    </row>
    <row r="467" spans="1:7" x14ac:dyDescent="0.25">
      <c r="A467" s="77"/>
      <c r="B467" s="53"/>
      <c r="C467" s="55"/>
      <c r="D467" s="70"/>
      <c r="E467" s="93"/>
      <c r="F467" s="93"/>
      <c r="G467" s="53"/>
    </row>
    <row r="468" spans="1:7" s="3" customFormat="1" x14ac:dyDescent="0.25">
      <c r="A468" s="79" t="s">
        <v>364</v>
      </c>
      <c r="B468" s="3" t="s">
        <v>361</v>
      </c>
      <c r="C468" s="116"/>
      <c r="D468" s="117"/>
      <c r="E468" s="121"/>
      <c r="F468" s="121"/>
      <c r="G468" s="115"/>
    </row>
    <row r="469" spans="1:7" x14ac:dyDescent="0.25">
      <c r="A469" s="77"/>
      <c r="B469" s="88" t="s">
        <v>365</v>
      </c>
      <c r="C469" s="55"/>
      <c r="D469" s="70"/>
      <c r="E469" s="93"/>
      <c r="F469" s="93"/>
      <c r="G469" s="53"/>
    </row>
    <row r="470" spans="1:7" x14ac:dyDescent="0.25">
      <c r="A470" s="77" t="s">
        <v>774</v>
      </c>
      <c r="B470" s="88" t="s">
        <v>366</v>
      </c>
      <c r="C470" s="55">
        <v>2290.7800000000002</v>
      </c>
      <c r="D470" s="70" t="s">
        <v>56</v>
      </c>
      <c r="E470" s="93">
        <f>(5.19*1.3*0.86)*1.44</f>
        <v>8.355484800000001</v>
      </c>
      <c r="F470" s="93">
        <f>C470*E470</f>
        <v>19140.577470144002</v>
      </c>
      <c r="G470" s="53"/>
    </row>
    <row r="471" spans="1:7" x14ac:dyDescent="0.25">
      <c r="A471" s="77" t="s">
        <v>775</v>
      </c>
      <c r="B471" s="88" t="s">
        <v>367</v>
      </c>
      <c r="C471" s="55">
        <v>54.39</v>
      </c>
      <c r="D471" s="70" t="s">
        <v>56</v>
      </c>
      <c r="E471" s="93">
        <f>(4.64*1.3*0.86)*1.44</f>
        <v>7.4700287999999997</v>
      </c>
      <c r="F471" s="93">
        <f>C471*E471</f>
        <v>406.29486643199999</v>
      </c>
      <c r="G471" s="53"/>
    </row>
    <row r="472" spans="1:7" x14ac:dyDescent="0.25">
      <c r="A472" s="77"/>
      <c r="C472" s="55"/>
      <c r="D472" s="70"/>
      <c r="E472" s="93"/>
      <c r="F472" s="93"/>
      <c r="G472" s="53"/>
    </row>
    <row r="473" spans="1:7" x14ac:dyDescent="0.25">
      <c r="A473" s="77"/>
      <c r="B473" s="88" t="s">
        <v>368</v>
      </c>
      <c r="C473" s="55"/>
      <c r="D473" s="70"/>
      <c r="E473" s="93"/>
      <c r="F473" s="93"/>
      <c r="G473" s="53"/>
    </row>
    <row r="474" spans="1:7" x14ac:dyDescent="0.25">
      <c r="A474" s="77" t="s">
        <v>776</v>
      </c>
      <c r="B474" s="88" t="s">
        <v>369</v>
      </c>
      <c r="C474" s="55">
        <f>C226+C495</f>
        <v>1219.83</v>
      </c>
      <c r="D474" s="70" t="s">
        <v>56</v>
      </c>
      <c r="E474" s="93">
        <f>(4.54*1.3*0.86)*1.44</f>
        <v>7.3090368000000003</v>
      </c>
      <c r="F474" s="93">
        <f>C474*E474</f>
        <v>8915.7823597440001</v>
      </c>
      <c r="G474" s="53"/>
    </row>
    <row r="475" spans="1:7" x14ac:dyDescent="0.25">
      <c r="A475" s="77"/>
      <c r="C475" s="55"/>
      <c r="D475" s="70"/>
      <c r="E475" s="93"/>
      <c r="F475" s="93"/>
      <c r="G475" s="53"/>
    </row>
    <row r="476" spans="1:7" x14ac:dyDescent="0.25">
      <c r="A476" s="77"/>
      <c r="B476" s="53"/>
      <c r="C476" s="55"/>
      <c r="D476" s="70"/>
      <c r="E476" s="93"/>
      <c r="F476" s="93"/>
      <c r="G476" s="53"/>
    </row>
    <row r="477" spans="1:7" s="3" customFormat="1" x14ac:dyDescent="0.25">
      <c r="A477" s="85"/>
      <c r="B477" s="11" t="s">
        <v>7</v>
      </c>
      <c r="C477" s="12"/>
      <c r="D477" s="38"/>
      <c r="E477" s="12"/>
      <c r="F477" s="33">
        <f>SUM(F464:F476)</f>
        <v>34574.303836799998</v>
      </c>
      <c r="G477" s="37"/>
    </row>
    <row r="478" spans="1:7" s="3" customFormat="1" ht="13.8" thickBot="1" x14ac:dyDescent="0.3">
      <c r="A478" s="107"/>
      <c r="B478" s="39"/>
      <c r="C478" s="108"/>
      <c r="D478" s="109"/>
      <c r="E478" s="108"/>
      <c r="F478" s="110"/>
      <c r="G478" s="111"/>
    </row>
    <row r="479" spans="1:7" s="3" customFormat="1" ht="13.8" thickBot="1" x14ac:dyDescent="0.3">
      <c r="A479" s="150"/>
      <c r="B479" s="151" t="s">
        <v>759</v>
      </c>
      <c r="C479" s="152"/>
      <c r="D479" s="153"/>
      <c r="E479" s="152"/>
      <c r="F479" s="154">
        <f>F477</f>
        <v>34574.303836799998</v>
      </c>
      <c r="G479" s="155"/>
    </row>
    <row r="480" spans="1:7" x14ac:dyDescent="0.25">
      <c r="E480" s="98"/>
      <c r="F480" s="98"/>
    </row>
    <row r="481" spans="1:7" s="63" customFormat="1" ht="15.6" x14ac:dyDescent="0.3">
      <c r="A481" s="73">
        <v>30</v>
      </c>
      <c r="B481" s="40" t="s">
        <v>370</v>
      </c>
      <c r="C481" s="59"/>
      <c r="D481" s="60"/>
      <c r="E481" s="162"/>
      <c r="F481" s="162"/>
      <c r="G481" s="40"/>
    </row>
    <row r="482" spans="1:7" s="65" customFormat="1" ht="13.8" x14ac:dyDescent="0.25">
      <c r="A482" s="78">
        <v>30.1</v>
      </c>
      <c r="B482" s="66" t="s">
        <v>370</v>
      </c>
      <c r="C482" s="68" t="s">
        <v>0</v>
      </c>
      <c r="D482" s="68" t="s">
        <v>5</v>
      </c>
      <c r="E482" s="68" t="s">
        <v>10</v>
      </c>
      <c r="F482" s="69" t="s">
        <v>6</v>
      </c>
      <c r="G482" s="66"/>
    </row>
    <row r="483" spans="1:7" s="3" customFormat="1" ht="26.4" x14ac:dyDescent="0.25">
      <c r="A483" s="79" t="s">
        <v>372</v>
      </c>
      <c r="B483" s="87" t="s">
        <v>371</v>
      </c>
      <c r="C483" s="116"/>
      <c r="D483" s="117"/>
      <c r="E483" s="121"/>
      <c r="F483" s="121"/>
      <c r="G483" s="115"/>
    </row>
    <row r="484" spans="1:7" ht="26.4" x14ac:dyDescent="0.25">
      <c r="A484" s="77"/>
      <c r="B484" s="84" t="s">
        <v>375</v>
      </c>
      <c r="C484" s="55"/>
      <c r="D484" s="70"/>
      <c r="E484" s="93"/>
      <c r="F484" s="93"/>
      <c r="G484" s="53"/>
    </row>
    <row r="485" spans="1:7" x14ac:dyDescent="0.25">
      <c r="A485" s="77" t="s">
        <v>374</v>
      </c>
      <c r="B485" s="88" t="s">
        <v>373</v>
      </c>
      <c r="C485" s="71">
        <v>129.6</v>
      </c>
      <c r="D485" s="70" t="s">
        <v>56</v>
      </c>
      <c r="E485" s="93">
        <f>(39.12*1.3*0.86)*1.44</f>
        <v>62.980070399999995</v>
      </c>
      <c r="F485" s="93">
        <f>C485*E485</f>
        <v>8162.2171238399987</v>
      </c>
      <c r="G485" s="53" t="s">
        <v>1268</v>
      </c>
    </row>
    <row r="486" spans="1:7" x14ac:dyDescent="0.25">
      <c r="A486" s="77"/>
      <c r="B486" s="88" t="s">
        <v>378</v>
      </c>
      <c r="C486" s="55"/>
      <c r="D486" s="70"/>
      <c r="E486" s="93"/>
      <c r="F486" s="93"/>
      <c r="G486" s="53"/>
    </row>
    <row r="487" spans="1:7" x14ac:dyDescent="0.25">
      <c r="A487" s="77" t="s">
        <v>377</v>
      </c>
      <c r="B487" s="88" t="s">
        <v>376</v>
      </c>
      <c r="C487" s="71">
        <v>1350</v>
      </c>
      <c r="D487" s="70" t="s">
        <v>1</v>
      </c>
      <c r="E487" s="93">
        <f>(24.67*1.3*0.86)*1.44</f>
        <v>39.716726400000006</v>
      </c>
      <c r="F487" s="93">
        <f>C487*E487</f>
        <v>53617.580640000007</v>
      </c>
      <c r="G487" s="53" t="s">
        <v>1267</v>
      </c>
    </row>
    <row r="488" spans="1:7" x14ac:dyDescent="0.25">
      <c r="A488" s="77"/>
      <c r="B488" s="53"/>
      <c r="C488" s="55"/>
      <c r="D488" s="70"/>
      <c r="E488" s="93"/>
      <c r="F488" s="93"/>
      <c r="G488" s="53"/>
    </row>
    <row r="489" spans="1:7" x14ac:dyDescent="0.25">
      <c r="A489" s="77"/>
      <c r="B489" s="53"/>
      <c r="C489" s="55"/>
      <c r="D489" s="70"/>
      <c r="E489" s="93"/>
      <c r="F489" s="93"/>
      <c r="G489" s="53"/>
    </row>
    <row r="490" spans="1:7" s="3" customFormat="1" x14ac:dyDescent="0.25">
      <c r="A490" s="85"/>
      <c r="B490" s="11" t="s">
        <v>7</v>
      </c>
      <c r="C490" s="12"/>
      <c r="D490" s="38"/>
      <c r="E490" s="12"/>
      <c r="F490" s="33">
        <f>SUM(F483:F489)</f>
        <v>61779.797763840004</v>
      </c>
      <c r="G490" s="37"/>
    </row>
    <row r="491" spans="1:7" x14ac:dyDescent="0.25">
      <c r="E491" s="98"/>
      <c r="F491" s="98"/>
    </row>
    <row r="492" spans="1:7" s="65" customFormat="1" ht="13.8" x14ac:dyDescent="0.25">
      <c r="A492" s="78">
        <v>30.2</v>
      </c>
      <c r="B492" s="66" t="s">
        <v>379</v>
      </c>
      <c r="C492" s="68" t="s">
        <v>0</v>
      </c>
      <c r="D492" s="68" t="s">
        <v>5</v>
      </c>
      <c r="E492" s="68" t="s">
        <v>10</v>
      </c>
      <c r="F492" s="69" t="s">
        <v>6</v>
      </c>
      <c r="G492" s="66"/>
    </row>
    <row r="493" spans="1:7" s="3" customFormat="1" ht="26.4" x14ac:dyDescent="0.25">
      <c r="A493" s="79" t="s">
        <v>381</v>
      </c>
      <c r="B493" s="87" t="s">
        <v>380</v>
      </c>
      <c r="C493" s="116"/>
      <c r="D493" s="117"/>
      <c r="E493" s="121"/>
      <c r="F493" s="121"/>
      <c r="G493" s="115"/>
    </row>
    <row r="494" spans="1:7" x14ac:dyDescent="0.25">
      <c r="A494" s="77"/>
      <c r="B494" s="88" t="s">
        <v>382</v>
      </c>
      <c r="C494" s="55"/>
      <c r="D494" s="70"/>
      <c r="E494" s="93"/>
      <c r="F494" s="93"/>
      <c r="G494" s="53"/>
    </row>
    <row r="495" spans="1:7" x14ac:dyDescent="0.25">
      <c r="A495" s="77" t="s">
        <v>383</v>
      </c>
      <c r="B495" s="88" t="s">
        <v>373</v>
      </c>
      <c r="C495" s="55">
        <v>47.49</v>
      </c>
      <c r="D495" s="70" t="s">
        <v>56</v>
      </c>
      <c r="E495" s="93">
        <f>(13.92*1.3*0.86)*1.44</f>
        <v>22.410086399999997</v>
      </c>
      <c r="F495" s="93">
        <f>C495*E495</f>
        <v>1064.2550031359999</v>
      </c>
      <c r="G495" s="53" t="s">
        <v>1269</v>
      </c>
    </row>
    <row r="496" spans="1:7" x14ac:dyDescent="0.25">
      <c r="A496" s="77"/>
      <c r="B496" s="53"/>
      <c r="C496" s="55"/>
      <c r="D496" s="70"/>
      <c r="E496" s="93"/>
      <c r="F496" s="93"/>
      <c r="G496" s="53"/>
    </row>
    <row r="497" spans="1:7" x14ac:dyDescent="0.25">
      <c r="A497" s="77"/>
      <c r="B497" s="53"/>
      <c r="C497" s="55"/>
      <c r="D497" s="70"/>
      <c r="E497" s="93"/>
      <c r="F497" s="93"/>
      <c r="G497" s="53"/>
    </row>
    <row r="498" spans="1:7" s="3" customFormat="1" x14ac:dyDescent="0.25">
      <c r="A498" s="85"/>
      <c r="B498" s="11" t="s">
        <v>7</v>
      </c>
      <c r="C498" s="12"/>
      <c r="D498" s="38"/>
      <c r="E498" s="12"/>
      <c r="F498" s="33">
        <f>SUM(F493:F497)</f>
        <v>1064.2550031359999</v>
      </c>
      <c r="G498" s="37"/>
    </row>
    <row r="499" spans="1:7" s="3" customFormat="1" ht="13.8" thickBot="1" x14ac:dyDescent="0.3">
      <c r="A499" s="107"/>
      <c r="B499" s="39"/>
      <c r="C499" s="108"/>
      <c r="D499" s="109"/>
      <c r="E499" s="108"/>
      <c r="F499" s="110"/>
      <c r="G499" s="111"/>
    </row>
    <row r="500" spans="1:7" s="3" customFormat="1" ht="13.8" thickBot="1" x14ac:dyDescent="0.3">
      <c r="A500" s="150"/>
      <c r="B500" s="151" t="s">
        <v>759</v>
      </c>
      <c r="C500" s="152"/>
      <c r="D500" s="153"/>
      <c r="E500" s="152"/>
      <c r="F500" s="154">
        <f>F490+F498</f>
        <v>62844.052766976005</v>
      </c>
      <c r="G500" s="155"/>
    </row>
    <row r="501" spans="1:7" x14ac:dyDescent="0.25">
      <c r="E501" s="98"/>
      <c r="F501" s="98"/>
    </row>
    <row r="502" spans="1:7" s="63" customFormat="1" ht="15.6" x14ac:dyDescent="0.3">
      <c r="A502" s="73">
        <v>31</v>
      </c>
      <c r="B502" s="40" t="s">
        <v>384</v>
      </c>
      <c r="C502" s="59"/>
      <c r="D502" s="60"/>
      <c r="E502" s="162"/>
      <c r="F502" s="162"/>
      <c r="G502" s="40"/>
    </row>
    <row r="503" spans="1:7" s="65" customFormat="1" ht="13.8" x14ac:dyDescent="0.25">
      <c r="A503" s="78">
        <v>31.1</v>
      </c>
      <c r="B503" s="66" t="s">
        <v>385</v>
      </c>
      <c r="C503" s="68" t="s">
        <v>0</v>
      </c>
      <c r="D503" s="68" t="s">
        <v>5</v>
      </c>
      <c r="E503" s="68" t="s">
        <v>10</v>
      </c>
      <c r="F503" s="69" t="s">
        <v>6</v>
      </c>
      <c r="G503" s="66"/>
    </row>
    <row r="504" spans="1:7" s="3" customFormat="1" x14ac:dyDescent="0.25">
      <c r="A504" s="79" t="s">
        <v>387</v>
      </c>
      <c r="B504" s="3" t="s">
        <v>386</v>
      </c>
      <c r="C504" s="116"/>
      <c r="D504" s="117"/>
      <c r="E504" s="121"/>
      <c r="F504" s="121"/>
      <c r="G504" s="115"/>
    </row>
    <row r="505" spans="1:7" ht="52.8" x14ac:dyDescent="0.25">
      <c r="A505" s="77"/>
      <c r="B505" s="84" t="s">
        <v>388</v>
      </c>
      <c r="C505" s="55"/>
      <c r="D505" s="70"/>
      <c r="E505" s="93"/>
      <c r="F505" s="93"/>
      <c r="G505" s="53"/>
    </row>
    <row r="506" spans="1:7" x14ac:dyDescent="0.25">
      <c r="A506" s="77" t="s">
        <v>390</v>
      </c>
      <c r="B506" s="88" t="s">
        <v>389</v>
      </c>
      <c r="C506" s="55">
        <v>985.64</v>
      </c>
      <c r="D506" s="70" t="s">
        <v>56</v>
      </c>
      <c r="E506" s="93">
        <f>(20.53*1.3*0.86)*1.44</f>
        <v>33.051657600000006</v>
      </c>
      <c r="F506" s="93">
        <f>C506*E506</f>
        <v>32577.035796864006</v>
      </c>
      <c r="G506" s="53" t="s">
        <v>1270</v>
      </c>
    </row>
    <row r="507" spans="1:7" x14ac:dyDescent="0.25">
      <c r="A507" s="77"/>
      <c r="B507" s="53"/>
      <c r="C507" s="55"/>
      <c r="D507" s="70"/>
      <c r="E507" s="93"/>
      <c r="F507" s="93"/>
      <c r="G507" s="53"/>
    </row>
    <row r="508" spans="1:7" x14ac:dyDescent="0.25">
      <c r="A508" s="77"/>
      <c r="B508" s="53"/>
      <c r="C508" s="55"/>
      <c r="D508" s="70"/>
      <c r="E508" s="93"/>
      <c r="F508" s="93"/>
      <c r="G508" s="53"/>
    </row>
    <row r="509" spans="1:7" s="3" customFormat="1" x14ac:dyDescent="0.25">
      <c r="A509" s="85"/>
      <c r="B509" s="11" t="s">
        <v>7</v>
      </c>
      <c r="C509" s="12"/>
      <c r="D509" s="38"/>
      <c r="E509" s="12"/>
      <c r="F509" s="33">
        <f>SUM(F504:F508)</f>
        <v>32577.035796864006</v>
      </c>
      <c r="G509" s="37"/>
    </row>
    <row r="510" spans="1:7" x14ac:dyDescent="0.25">
      <c r="E510" s="98"/>
      <c r="F510" s="98"/>
    </row>
    <row r="511" spans="1:7" s="65" customFormat="1" ht="13.8" x14ac:dyDescent="0.25">
      <c r="A511" s="78">
        <v>31.2</v>
      </c>
      <c r="B511" s="66" t="s">
        <v>391</v>
      </c>
      <c r="C511" s="68" t="s">
        <v>0</v>
      </c>
      <c r="D511" s="68" t="s">
        <v>5</v>
      </c>
      <c r="E511" s="68" t="s">
        <v>10</v>
      </c>
      <c r="F511" s="69" t="s">
        <v>6</v>
      </c>
      <c r="G511" s="66"/>
    </row>
    <row r="512" spans="1:7" s="3" customFormat="1" x14ac:dyDescent="0.25">
      <c r="A512" s="79" t="s">
        <v>395</v>
      </c>
      <c r="B512" s="39" t="s">
        <v>391</v>
      </c>
      <c r="C512" s="117"/>
      <c r="D512" s="117"/>
      <c r="E512" s="117"/>
      <c r="F512" s="161"/>
      <c r="G512" s="115"/>
    </row>
    <row r="513" spans="1:7" ht="26.4" x14ac:dyDescent="0.25">
      <c r="A513" s="92"/>
      <c r="B513" s="112" t="s">
        <v>392</v>
      </c>
      <c r="C513" s="100"/>
      <c r="D513" s="92"/>
      <c r="E513" s="100"/>
      <c r="F513" s="92"/>
      <c r="G513" s="53"/>
    </row>
    <row r="514" spans="1:7" x14ac:dyDescent="0.25">
      <c r="A514" s="92" t="s">
        <v>394</v>
      </c>
      <c r="B514" s="88" t="s">
        <v>396</v>
      </c>
      <c r="C514" s="55">
        <v>482.75</v>
      </c>
      <c r="D514" s="70" t="s">
        <v>1</v>
      </c>
      <c r="E514" s="93">
        <f>(6.52*1.3*0.86)*1.44</f>
        <v>10.496678399999999</v>
      </c>
      <c r="F514" s="93">
        <f>C514*E514</f>
        <v>5067.2714975999997</v>
      </c>
      <c r="G514" s="53"/>
    </row>
    <row r="515" spans="1:7" x14ac:dyDescent="0.25">
      <c r="A515" s="92" t="s">
        <v>397</v>
      </c>
      <c r="B515" s="88" t="s">
        <v>393</v>
      </c>
      <c r="C515" s="55">
        <v>608.38</v>
      </c>
      <c r="D515" s="70" t="s">
        <v>1</v>
      </c>
      <c r="E515" s="93">
        <f>(8.31*1.3*0.86)*1.44</f>
        <v>13.3784352</v>
      </c>
      <c r="F515" s="93">
        <f>C515*E515</f>
        <v>8139.1724069760003</v>
      </c>
      <c r="G515" s="53"/>
    </row>
    <row r="516" spans="1:7" x14ac:dyDescent="0.25">
      <c r="A516" s="77"/>
      <c r="B516" s="53"/>
      <c r="C516" s="55"/>
      <c r="D516" s="70"/>
      <c r="E516" s="93"/>
      <c r="F516" s="93"/>
      <c r="G516" s="53"/>
    </row>
    <row r="517" spans="1:7" s="3" customFormat="1" x14ac:dyDescent="0.25">
      <c r="A517" s="79" t="s">
        <v>399</v>
      </c>
      <c r="B517" s="3" t="s">
        <v>398</v>
      </c>
      <c r="C517" s="116"/>
      <c r="D517" s="117"/>
      <c r="E517" s="121"/>
      <c r="F517" s="121"/>
      <c r="G517" s="115"/>
    </row>
    <row r="518" spans="1:7" ht="26.4" x14ac:dyDescent="0.25">
      <c r="A518" s="77"/>
      <c r="B518" s="84" t="s">
        <v>400</v>
      </c>
      <c r="C518" s="55"/>
      <c r="D518" s="70"/>
      <c r="E518" s="93"/>
      <c r="F518" s="93"/>
      <c r="G518" s="53"/>
    </row>
    <row r="519" spans="1:7" x14ac:dyDescent="0.25">
      <c r="A519" s="77" t="s">
        <v>777</v>
      </c>
      <c r="B519" s="88" t="s">
        <v>830</v>
      </c>
      <c r="C519" s="55">
        <v>47.49</v>
      </c>
      <c r="D519" s="70" t="s">
        <v>56</v>
      </c>
      <c r="E519" s="93">
        <f>(75.4*1.3*0.86)*1.44</f>
        <v>121.387968</v>
      </c>
      <c r="F519" s="93">
        <f>C519*E519</f>
        <v>5764.7146003200005</v>
      </c>
      <c r="G519" s="53"/>
    </row>
    <row r="520" spans="1:7" x14ac:dyDescent="0.25">
      <c r="A520" s="77"/>
      <c r="B520" s="53"/>
      <c r="C520" s="55"/>
      <c r="D520" s="70"/>
      <c r="E520" s="93"/>
      <c r="F520" s="93"/>
      <c r="G520" s="53"/>
    </row>
    <row r="521" spans="1:7" ht="26.4" x14ac:dyDescent="0.25">
      <c r="A521" s="77"/>
      <c r="B521" s="84" t="s">
        <v>401</v>
      </c>
      <c r="C521" s="55"/>
      <c r="D521" s="70"/>
      <c r="E521" s="93"/>
      <c r="F521" s="93"/>
      <c r="G521" s="53"/>
    </row>
    <row r="522" spans="1:7" x14ac:dyDescent="0.25">
      <c r="A522" s="77" t="s">
        <v>778</v>
      </c>
      <c r="B522" s="88" t="s">
        <v>402</v>
      </c>
      <c r="C522" s="55">
        <v>200.14</v>
      </c>
      <c r="D522" s="70" t="s">
        <v>1</v>
      </c>
      <c r="E522" s="93">
        <f>(15.65*1.3*0.86)*1.44</f>
        <v>25.195247999999999</v>
      </c>
      <c r="F522" s="93">
        <f>C522*E522</f>
        <v>5042.5769347199994</v>
      </c>
      <c r="G522" s="53"/>
    </row>
    <row r="523" spans="1:7" x14ac:dyDescent="0.25">
      <c r="A523" s="77"/>
      <c r="B523" s="53"/>
      <c r="C523" s="55"/>
      <c r="D523" s="70"/>
      <c r="E523" s="93"/>
      <c r="F523" s="93"/>
      <c r="G523" s="53"/>
    </row>
    <row r="524" spans="1:7" x14ac:dyDescent="0.25">
      <c r="A524" s="77"/>
      <c r="B524" s="53"/>
      <c r="C524" s="55"/>
      <c r="D524" s="70"/>
      <c r="E524" s="93"/>
      <c r="F524" s="93"/>
      <c r="G524" s="53"/>
    </row>
    <row r="525" spans="1:7" s="3" customFormat="1" x14ac:dyDescent="0.25">
      <c r="A525" s="85"/>
      <c r="B525" s="11" t="s">
        <v>7</v>
      </c>
      <c r="C525" s="12"/>
      <c r="D525" s="38"/>
      <c r="E525" s="12"/>
      <c r="F525" s="33">
        <f>SUM(F512:F524)</f>
        <v>24013.735439616001</v>
      </c>
      <c r="G525" s="37"/>
    </row>
    <row r="526" spans="1:7" s="3" customFormat="1" ht="13.8" thickBot="1" x14ac:dyDescent="0.3">
      <c r="A526" s="107"/>
      <c r="B526" s="39"/>
      <c r="C526" s="108"/>
      <c r="D526" s="109"/>
      <c r="E526" s="108"/>
      <c r="F526" s="110"/>
      <c r="G526" s="111"/>
    </row>
    <row r="527" spans="1:7" s="3" customFormat="1" ht="13.8" thickBot="1" x14ac:dyDescent="0.3">
      <c r="A527" s="150"/>
      <c r="B527" s="151" t="s">
        <v>759</v>
      </c>
      <c r="C527" s="152"/>
      <c r="D527" s="153"/>
      <c r="E527" s="152"/>
      <c r="F527" s="154">
        <f>F509+F525</f>
        <v>56590.77123648001</v>
      </c>
      <c r="G527" s="155"/>
    </row>
    <row r="528" spans="1:7" x14ac:dyDescent="0.25">
      <c r="A528" s="129"/>
      <c r="F528" s="81"/>
      <c r="G528" s="130"/>
    </row>
    <row r="529" spans="1:7" s="63" customFormat="1" ht="15.6" x14ac:dyDescent="0.3">
      <c r="A529" s="73">
        <v>32</v>
      </c>
      <c r="B529" s="40" t="s">
        <v>403</v>
      </c>
      <c r="C529" s="59"/>
      <c r="D529" s="60"/>
      <c r="E529" s="162"/>
      <c r="F529" s="162"/>
      <c r="G529" s="40"/>
    </row>
    <row r="530" spans="1:7" s="65" customFormat="1" ht="13.8" x14ac:dyDescent="0.25">
      <c r="A530" s="78">
        <v>32.1</v>
      </c>
      <c r="B530" s="66" t="s">
        <v>404</v>
      </c>
      <c r="C530" s="68" t="s">
        <v>0</v>
      </c>
      <c r="D530" s="68" t="s">
        <v>5</v>
      </c>
      <c r="E530" s="68" t="s">
        <v>10</v>
      </c>
      <c r="F530" s="69" t="s">
        <v>6</v>
      </c>
      <c r="G530" s="66"/>
    </row>
    <row r="531" spans="1:7" s="3" customFormat="1" ht="26.4" x14ac:dyDescent="0.25">
      <c r="A531" s="79" t="s">
        <v>779</v>
      </c>
      <c r="B531" s="87" t="s">
        <v>406</v>
      </c>
      <c r="C531" s="116"/>
      <c r="D531" s="117"/>
      <c r="E531" s="121"/>
      <c r="F531" s="121"/>
      <c r="G531" s="115"/>
    </row>
    <row r="532" spans="1:7" x14ac:dyDescent="0.25">
      <c r="A532" s="77"/>
      <c r="B532" s="88" t="s">
        <v>407</v>
      </c>
      <c r="C532" s="55"/>
      <c r="D532" s="70"/>
      <c r="E532" s="93"/>
      <c r="F532" s="93"/>
      <c r="G532" s="53"/>
    </row>
    <row r="533" spans="1:7" x14ac:dyDescent="0.25">
      <c r="A533" s="77" t="s">
        <v>780</v>
      </c>
      <c r="B533" s="88" t="s">
        <v>408</v>
      </c>
      <c r="C533" s="55">
        <v>2</v>
      </c>
      <c r="D533" s="70" t="s">
        <v>3</v>
      </c>
      <c r="E533" s="93">
        <f>(177.27*1.3*0.86)*1.44</f>
        <v>285.39051840000002</v>
      </c>
      <c r="F533" s="93">
        <f>C533*E533</f>
        <v>570.78103680000004</v>
      </c>
      <c r="G533" s="53"/>
    </row>
    <row r="534" spans="1:7" x14ac:dyDescent="0.25">
      <c r="A534" s="77" t="s">
        <v>781</v>
      </c>
      <c r="B534" s="88" t="s">
        <v>409</v>
      </c>
      <c r="C534" s="55">
        <v>10</v>
      </c>
      <c r="D534" s="70" t="s">
        <v>3</v>
      </c>
      <c r="E534" s="93">
        <f>(262.8*1.3*0.86)*1.44</f>
        <v>423.08697599999999</v>
      </c>
      <c r="F534" s="93">
        <f>C534*E534</f>
        <v>4230.8697599999996</v>
      </c>
      <c r="G534" s="53"/>
    </row>
    <row r="535" spans="1:7" x14ac:dyDescent="0.25">
      <c r="A535" s="77"/>
      <c r="B535" s="53"/>
      <c r="C535" s="55"/>
      <c r="D535" s="70"/>
      <c r="E535" s="93"/>
      <c r="F535" s="93"/>
      <c r="G535" s="53"/>
    </row>
    <row r="536" spans="1:7" x14ac:dyDescent="0.25">
      <c r="A536" s="77"/>
      <c r="B536" s="88" t="s">
        <v>410</v>
      </c>
      <c r="C536" s="55"/>
      <c r="D536" s="70"/>
      <c r="E536" s="93"/>
      <c r="F536" s="93"/>
      <c r="G536" s="53"/>
    </row>
    <row r="537" spans="1:7" x14ac:dyDescent="0.25">
      <c r="A537" s="77" t="s">
        <v>782</v>
      </c>
      <c r="B537" s="88" t="s">
        <v>412</v>
      </c>
      <c r="C537" s="55">
        <v>9</v>
      </c>
      <c r="D537" s="70" t="s">
        <v>3</v>
      </c>
      <c r="E537" s="93">
        <f>(259.67*1.3*0.86)*1.44</f>
        <v>418.04792639999999</v>
      </c>
      <c r="F537" s="93">
        <f>C537*E537</f>
        <v>3762.4313376</v>
      </c>
      <c r="G537" s="53"/>
    </row>
    <row r="538" spans="1:7" x14ac:dyDescent="0.25">
      <c r="A538" s="77" t="s">
        <v>783</v>
      </c>
      <c r="B538" s="88" t="s">
        <v>413</v>
      </c>
      <c r="C538" s="55">
        <v>3</v>
      </c>
      <c r="D538" s="70" t="s">
        <v>3</v>
      </c>
      <c r="E538" s="93">
        <f>(382.82*1.3*0.86)*1.44</f>
        <v>616.30957439999997</v>
      </c>
      <c r="F538" s="93">
        <f>C538*E538</f>
        <v>1848.9287231999999</v>
      </c>
      <c r="G538" s="53"/>
    </row>
    <row r="539" spans="1:7" x14ac:dyDescent="0.25">
      <c r="A539" s="77"/>
      <c r="B539" s="53"/>
      <c r="C539" s="55"/>
      <c r="D539" s="70"/>
      <c r="E539" s="93"/>
      <c r="F539" s="93"/>
      <c r="G539" s="53"/>
    </row>
    <row r="540" spans="1:7" x14ac:dyDescent="0.25">
      <c r="A540" s="77"/>
      <c r="B540" s="88" t="s">
        <v>414</v>
      </c>
      <c r="C540" s="55"/>
      <c r="D540" s="70"/>
      <c r="E540" s="93"/>
      <c r="F540" s="93"/>
      <c r="G540" s="53"/>
    </row>
    <row r="541" spans="1:7" x14ac:dyDescent="0.25">
      <c r="A541" s="77" t="s">
        <v>784</v>
      </c>
      <c r="B541" s="88" t="s">
        <v>413</v>
      </c>
      <c r="C541" s="55">
        <v>1</v>
      </c>
      <c r="D541" s="70" t="s">
        <v>3</v>
      </c>
      <c r="E541" s="93">
        <f>(350.35*1.3*0.86)*1.44</f>
        <v>564.03547200000003</v>
      </c>
      <c r="F541" s="93">
        <f>C541*E541</f>
        <v>564.03547200000003</v>
      </c>
      <c r="G541" s="53"/>
    </row>
    <row r="542" spans="1:7" x14ac:dyDescent="0.25">
      <c r="A542" s="77"/>
      <c r="B542" s="53"/>
      <c r="C542" s="55"/>
      <c r="D542" s="70"/>
      <c r="E542" s="93"/>
      <c r="F542" s="93"/>
      <c r="G542" s="53"/>
    </row>
    <row r="543" spans="1:7" ht="26.4" x14ac:dyDescent="0.25">
      <c r="A543" s="77"/>
      <c r="B543" s="84" t="s">
        <v>415</v>
      </c>
      <c r="C543" s="55"/>
      <c r="D543" s="70"/>
      <c r="E543" s="93"/>
      <c r="F543" s="93"/>
      <c r="G543" s="53"/>
    </row>
    <row r="544" spans="1:7" x14ac:dyDescent="0.25">
      <c r="A544" s="77" t="s">
        <v>785</v>
      </c>
      <c r="B544" s="88" t="s">
        <v>416</v>
      </c>
      <c r="C544" s="55">
        <v>12.75</v>
      </c>
      <c r="D544" s="70" t="s">
        <v>1</v>
      </c>
      <c r="E544" s="93">
        <f>(67.78*1.3*0.86)*1.44</f>
        <v>109.1203776</v>
      </c>
      <c r="F544" s="93">
        <f>C544*E544</f>
        <v>1391.2848144</v>
      </c>
      <c r="G544" s="53"/>
    </row>
    <row r="545" spans="1:7" x14ac:dyDescent="0.25">
      <c r="A545" s="77" t="s">
        <v>786</v>
      </c>
      <c r="B545" s="88" t="s">
        <v>417</v>
      </c>
      <c r="C545" s="55">
        <v>1</v>
      </c>
      <c r="D545" s="70" t="s">
        <v>3</v>
      </c>
      <c r="E545" s="93">
        <f>(12*1.3*0.86)*1.44</f>
        <v>19.319040000000001</v>
      </c>
      <c r="F545" s="93">
        <f>C545*E545</f>
        <v>19.319040000000001</v>
      </c>
      <c r="G545" s="53"/>
    </row>
    <row r="546" spans="1:7" x14ac:dyDescent="0.25">
      <c r="A546" s="77" t="s">
        <v>787</v>
      </c>
      <c r="B546" s="88" t="s">
        <v>418</v>
      </c>
      <c r="C546" s="55">
        <v>2</v>
      </c>
      <c r="D546" s="70" t="s">
        <v>3</v>
      </c>
      <c r="E546" s="93">
        <f>(14.79*1.3*0.86)*1.44</f>
        <v>23.810716799999998</v>
      </c>
      <c r="F546" s="93">
        <f>C546*E546</f>
        <v>47.621433599999996</v>
      </c>
      <c r="G546" s="53"/>
    </row>
    <row r="547" spans="1:7" x14ac:dyDescent="0.25">
      <c r="A547" s="77"/>
      <c r="B547" s="53"/>
      <c r="C547" s="55"/>
      <c r="D547" s="70"/>
      <c r="E547" s="93"/>
      <c r="F547" s="93"/>
      <c r="G547" s="53"/>
    </row>
    <row r="548" spans="1:7" x14ac:dyDescent="0.25">
      <c r="A548" s="77"/>
      <c r="B548" s="53"/>
      <c r="C548" s="55"/>
      <c r="D548" s="70"/>
      <c r="E548" s="93"/>
      <c r="F548" s="93"/>
      <c r="G548" s="53"/>
    </row>
    <row r="549" spans="1:7" s="3" customFormat="1" x14ac:dyDescent="0.25">
      <c r="A549" s="85"/>
      <c r="B549" s="11" t="s">
        <v>7</v>
      </c>
      <c r="C549" s="12"/>
      <c r="D549" s="38"/>
      <c r="E549" s="12"/>
      <c r="F549" s="33">
        <f>SUM(F531:F548)</f>
        <v>12435.271617599999</v>
      </c>
      <c r="G549" s="37"/>
    </row>
    <row r="550" spans="1:7" x14ac:dyDescent="0.25">
      <c r="A550" s="129"/>
      <c r="F550" s="81"/>
      <c r="G550" s="130"/>
    </row>
    <row r="551" spans="1:7" s="65" customFormat="1" ht="13.8" x14ac:dyDescent="0.25">
      <c r="A551" s="78">
        <v>32.200000000000003</v>
      </c>
      <c r="B551" s="66" t="s">
        <v>728</v>
      </c>
      <c r="C551" s="68" t="s">
        <v>0</v>
      </c>
      <c r="D551" s="68" t="s">
        <v>5</v>
      </c>
      <c r="E551" s="68" t="s">
        <v>10</v>
      </c>
      <c r="F551" s="69" t="s">
        <v>6</v>
      </c>
      <c r="G551" s="66"/>
    </row>
    <row r="552" spans="1:7" s="3" customFormat="1" x14ac:dyDescent="0.25">
      <c r="A552" s="165" t="s">
        <v>405</v>
      </c>
      <c r="B552" s="82" t="s">
        <v>729</v>
      </c>
      <c r="C552" s="157"/>
      <c r="D552" s="158"/>
      <c r="E552" s="163"/>
      <c r="F552" s="163"/>
      <c r="G552" s="156"/>
    </row>
    <row r="553" spans="1:7" x14ac:dyDescent="0.25">
      <c r="A553" s="120" t="s">
        <v>411</v>
      </c>
      <c r="B553" s="53" t="s">
        <v>730</v>
      </c>
      <c r="C553" s="55">
        <v>1</v>
      </c>
      <c r="D553" s="70" t="s">
        <v>3</v>
      </c>
      <c r="E553" s="93">
        <f>((2723.98+200)*1.3*0.86)*1.44</f>
        <v>4707.3738815999995</v>
      </c>
      <c r="F553" s="93">
        <f>C553*E553</f>
        <v>4707.3738815999995</v>
      </c>
      <c r="G553" s="122"/>
    </row>
    <row r="554" spans="1:7" x14ac:dyDescent="0.25">
      <c r="A554" s="120"/>
      <c r="B554" s="53"/>
      <c r="C554" s="55"/>
      <c r="D554" s="70"/>
      <c r="E554" s="93"/>
      <c r="F554" s="93"/>
      <c r="G554" s="122"/>
    </row>
    <row r="555" spans="1:7" s="3" customFormat="1" x14ac:dyDescent="0.25">
      <c r="A555" s="114" t="s">
        <v>732</v>
      </c>
      <c r="B555" s="115" t="s">
        <v>737</v>
      </c>
      <c r="C555" s="116"/>
      <c r="D555" s="117"/>
      <c r="E555" s="121"/>
      <c r="F555" s="121"/>
      <c r="G555" s="119"/>
    </row>
    <row r="556" spans="1:7" x14ac:dyDescent="0.25">
      <c r="A556" s="120" t="s">
        <v>733</v>
      </c>
      <c r="B556" s="53" t="s">
        <v>738</v>
      </c>
      <c r="C556" s="55">
        <v>1</v>
      </c>
      <c r="D556" s="70" t="s">
        <v>3</v>
      </c>
      <c r="E556" s="93">
        <f>((2325+50)*1.3*0.86)*1.44</f>
        <v>3823.56</v>
      </c>
      <c r="F556" s="93">
        <f>C556*E556</f>
        <v>3823.56</v>
      </c>
      <c r="G556" s="122"/>
    </row>
    <row r="557" spans="1:7" x14ac:dyDescent="0.25">
      <c r="A557" s="120"/>
      <c r="B557" s="53"/>
      <c r="C557" s="55"/>
      <c r="D557" s="70"/>
      <c r="E557" s="93"/>
      <c r="F557" s="93"/>
      <c r="G557" s="122"/>
    </row>
    <row r="558" spans="1:7" s="3" customFormat="1" x14ac:dyDescent="0.25">
      <c r="A558" s="114" t="s">
        <v>735</v>
      </c>
      <c r="B558" s="115" t="s">
        <v>731</v>
      </c>
      <c r="C558" s="116"/>
      <c r="D558" s="117"/>
      <c r="E558" s="121"/>
      <c r="F558" s="121"/>
      <c r="G558" s="119"/>
    </row>
    <row r="559" spans="1:7" ht="26.4" x14ac:dyDescent="0.25">
      <c r="A559" s="120" t="s">
        <v>736</v>
      </c>
      <c r="B559" s="105" t="s">
        <v>734</v>
      </c>
      <c r="C559" s="55">
        <v>1</v>
      </c>
      <c r="D559" s="70" t="s">
        <v>3</v>
      </c>
      <c r="E559" s="93">
        <f>((1498.8+50)*1.3*0.86)*1.44</f>
        <v>2493.4440960000002</v>
      </c>
      <c r="F559" s="93">
        <f>C559*E559</f>
        <v>2493.4440960000002</v>
      </c>
      <c r="G559" s="122"/>
    </row>
    <row r="560" spans="1:7" x14ac:dyDescent="0.25">
      <c r="A560" s="120"/>
      <c r="B560" s="53"/>
      <c r="C560" s="55"/>
      <c r="D560" s="70"/>
      <c r="E560" s="93"/>
      <c r="F560" s="93"/>
      <c r="G560" s="122"/>
    </row>
    <row r="561" spans="1:7" s="3" customFormat="1" x14ac:dyDescent="0.25">
      <c r="A561" s="114" t="s">
        <v>739</v>
      </c>
      <c r="B561" s="115" t="s">
        <v>740</v>
      </c>
      <c r="C561" s="116"/>
      <c r="D561" s="117"/>
      <c r="E561" s="121"/>
      <c r="F561" s="121"/>
      <c r="G561" s="119"/>
    </row>
    <row r="562" spans="1:7" ht="26.4" x14ac:dyDescent="0.25">
      <c r="A562" s="120" t="s">
        <v>741</v>
      </c>
      <c r="B562" s="105" t="s">
        <v>742</v>
      </c>
      <c r="C562" s="55">
        <v>1</v>
      </c>
      <c r="D562" s="70" t="s">
        <v>3</v>
      </c>
      <c r="E562" s="93">
        <f>((3421.2+100)*1.3*0.86)*1.44</f>
        <v>5668.8503039999987</v>
      </c>
      <c r="F562" s="93">
        <f>C562*E562</f>
        <v>5668.8503039999987</v>
      </c>
      <c r="G562" s="122"/>
    </row>
    <row r="563" spans="1:7" x14ac:dyDescent="0.25">
      <c r="A563" s="120"/>
      <c r="B563" s="53"/>
      <c r="C563" s="55"/>
      <c r="D563" s="70"/>
      <c r="E563" s="93"/>
      <c r="F563" s="93"/>
      <c r="G563" s="122"/>
    </row>
    <row r="564" spans="1:7" s="3" customFormat="1" x14ac:dyDescent="0.25">
      <c r="A564" s="114" t="s">
        <v>743</v>
      </c>
      <c r="B564" s="115" t="s">
        <v>744</v>
      </c>
      <c r="C564" s="116"/>
      <c r="D564" s="117"/>
      <c r="E564" s="121"/>
      <c r="F564" s="121"/>
      <c r="G564" s="119"/>
    </row>
    <row r="565" spans="1:7" x14ac:dyDescent="0.25">
      <c r="A565" s="120" t="s">
        <v>788</v>
      </c>
      <c r="B565" s="53" t="s">
        <v>745</v>
      </c>
      <c r="C565" s="55">
        <v>2</v>
      </c>
      <c r="D565" s="70" t="s">
        <v>3</v>
      </c>
      <c r="E565" s="93">
        <f>((270+20)*1.3*0.86)*1.44</f>
        <v>466.87679999999995</v>
      </c>
      <c r="F565" s="93">
        <f>C565*E565</f>
        <v>933.75359999999989</v>
      </c>
      <c r="G565" s="122"/>
    </row>
    <row r="566" spans="1:7" x14ac:dyDescent="0.25">
      <c r="A566" s="120"/>
      <c r="B566" s="53"/>
      <c r="C566" s="55"/>
      <c r="D566" s="70"/>
      <c r="E566" s="93"/>
      <c r="F566" s="93"/>
      <c r="G566" s="122"/>
    </row>
    <row r="567" spans="1:7" x14ac:dyDescent="0.25">
      <c r="A567" s="120"/>
      <c r="B567" s="53"/>
      <c r="C567" s="55"/>
      <c r="D567" s="70"/>
      <c r="E567" s="93"/>
      <c r="F567" s="93"/>
      <c r="G567" s="122"/>
    </row>
    <row r="568" spans="1:7" s="3" customFormat="1" x14ac:dyDescent="0.25">
      <c r="A568" s="85"/>
      <c r="B568" s="11" t="s">
        <v>7</v>
      </c>
      <c r="C568" s="12"/>
      <c r="D568" s="38"/>
      <c r="E568" s="12"/>
      <c r="F568" s="33">
        <f>SUM(F552:F567)</f>
        <v>17626.981881600001</v>
      </c>
      <c r="G568" s="37"/>
    </row>
    <row r="569" spans="1:7" x14ac:dyDescent="0.25">
      <c r="E569" s="98"/>
      <c r="F569" s="98"/>
    </row>
    <row r="570" spans="1:7" s="65" customFormat="1" ht="13.8" x14ac:dyDescent="0.25">
      <c r="A570" s="78">
        <v>32.299999999999997</v>
      </c>
      <c r="B570" s="66" t="s">
        <v>419</v>
      </c>
      <c r="C570" s="68" t="s">
        <v>0</v>
      </c>
      <c r="D570" s="68" t="s">
        <v>5</v>
      </c>
      <c r="E570" s="68" t="s">
        <v>10</v>
      </c>
      <c r="F570" s="69" t="s">
        <v>6</v>
      </c>
      <c r="G570" s="66"/>
    </row>
    <row r="571" spans="1:7" s="3" customFormat="1" x14ac:dyDescent="0.25">
      <c r="A571" s="79" t="s">
        <v>421</v>
      </c>
      <c r="B571" s="3" t="s">
        <v>420</v>
      </c>
      <c r="C571" s="116"/>
      <c r="D571" s="117"/>
      <c r="E571" s="121"/>
      <c r="F571" s="121"/>
      <c r="G571" s="115"/>
    </row>
    <row r="572" spans="1:7" x14ac:dyDescent="0.25">
      <c r="A572" s="77"/>
      <c r="B572" s="88" t="s">
        <v>422</v>
      </c>
      <c r="C572" s="55"/>
      <c r="D572" s="70"/>
      <c r="E572" s="93"/>
      <c r="F572" s="93"/>
      <c r="G572" s="53"/>
    </row>
    <row r="573" spans="1:7" ht="40.799999999999997" customHeight="1" x14ac:dyDescent="0.25">
      <c r="A573" s="77" t="s">
        <v>423</v>
      </c>
      <c r="B573" s="84" t="s">
        <v>424</v>
      </c>
      <c r="C573" s="55">
        <v>1</v>
      </c>
      <c r="D573" s="70" t="s">
        <v>3</v>
      </c>
      <c r="E573" s="93">
        <f>(505.4*1.3*0.86)*1.44</f>
        <v>813.65356799999995</v>
      </c>
      <c r="F573" s="93">
        <f>C573*E573</f>
        <v>813.65356799999995</v>
      </c>
      <c r="G573" s="53"/>
    </row>
    <row r="574" spans="1:7" x14ac:dyDescent="0.25">
      <c r="A574" s="77"/>
      <c r="B574" s="53"/>
      <c r="C574" s="55"/>
      <c r="D574" s="70"/>
      <c r="E574" s="93"/>
      <c r="F574" s="93"/>
      <c r="G574" s="53"/>
    </row>
    <row r="575" spans="1:7" s="3" customFormat="1" x14ac:dyDescent="0.25">
      <c r="A575" s="79" t="s">
        <v>426</v>
      </c>
      <c r="B575" s="3" t="s">
        <v>425</v>
      </c>
      <c r="C575" s="116"/>
      <c r="D575" s="117"/>
      <c r="E575" s="121"/>
      <c r="F575" s="121"/>
      <c r="G575" s="115"/>
    </row>
    <row r="576" spans="1:7" ht="26.4" x14ac:dyDescent="0.25">
      <c r="A576" s="77"/>
      <c r="B576" s="84" t="s">
        <v>427</v>
      </c>
      <c r="C576" s="55"/>
      <c r="D576" s="70"/>
      <c r="E576" s="93"/>
      <c r="F576" s="93"/>
      <c r="G576" s="53"/>
    </row>
    <row r="577" spans="1:7" ht="66" x14ac:dyDescent="0.25">
      <c r="A577" s="77" t="s">
        <v>429</v>
      </c>
      <c r="B577" s="84" t="s">
        <v>428</v>
      </c>
      <c r="C577" s="55">
        <v>11</v>
      </c>
      <c r="D577" s="70" t="s">
        <v>3</v>
      </c>
      <c r="E577" s="93">
        <f>(275.77*1.3*0.86)*1.44</f>
        <v>443.9676384</v>
      </c>
      <c r="F577" s="93">
        <f>C577*E577</f>
        <v>4883.6440223999998</v>
      </c>
      <c r="G577" s="53"/>
    </row>
    <row r="578" spans="1:7" x14ac:dyDescent="0.25">
      <c r="A578" s="77"/>
      <c r="B578" s="53"/>
      <c r="C578" s="55"/>
      <c r="D578" s="70"/>
      <c r="E578" s="93"/>
      <c r="F578" s="93"/>
      <c r="G578" s="53"/>
    </row>
    <row r="579" spans="1:7" s="3" customFormat="1" x14ac:dyDescent="0.25">
      <c r="A579" s="79" t="s">
        <v>431</v>
      </c>
      <c r="B579" s="3" t="s">
        <v>430</v>
      </c>
      <c r="C579" s="116"/>
      <c r="D579" s="117"/>
      <c r="E579" s="121"/>
      <c r="F579" s="121"/>
      <c r="G579" s="115"/>
    </row>
    <row r="580" spans="1:7" x14ac:dyDescent="0.25">
      <c r="A580" s="77"/>
      <c r="B580" s="88" t="s">
        <v>432</v>
      </c>
      <c r="C580" s="55"/>
      <c r="D580" s="70"/>
      <c r="E580" s="93"/>
      <c r="F580" s="93"/>
      <c r="G580" s="53"/>
    </row>
    <row r="581" spans="1:7" ht="26.4" x14ac:dyDescent="0.25">
      <c r="A581" s="77" t="s">
        <v>434</v>
      </c>
      <c r="B581" s="84" t="s">
        <v>433</v>
      </c>
      <c r="C581" s="55">
        <v>4</v>
      </c>
      <c r="D581" s="70" t="s">
        <v>3</v>
      </c>
      <c r="E581" s="93">
        <f>(438.96*1.3*0.86)*1.44</f>
        <v>706.69048320000002</v>
      </c>
      <c r="F581" s="93">
        <f>C581*E581</f>
        <v>2826.7619328000001</v>
      </c>
      <c r="G581" s="53" t="s">
        <v>1271</v>
      </c>
    </row>
    <row r="582" spans="1:7" x14ac:dyDescent="0.25">
      <c r="A582" s="77"/>
      <c r="B582" s="53"/>
      <c r="C582" s="55"/>
      <c r="D582" s="70"/>
      <c r="E582" s="93"/>
      <c r="F582" s="93"/>
      <c r="G582" s="53"/>
    </row>
    <row r="583" spans="1:7" s="3" customFormat="1" x14ac:dyDescent="0.25">
      <c r="A583" s="79" t="s">
        <v>436</v>
      </c>
      <c r="B583" s="3" t="s">
        <v>435</v>
      </c>
      <c r="C583" s="116"/>
      <c r="D583" s="117"/>
      <c r="E583" s="121"/>
      <c r="F583" s="121"/>
      <c r="G583" s="115"/>
    </row>
    <row r="584" spans="1:7" ht="26.4" x14ac:dyDescent="0.25">
      <c r="A584" s="77"/>
      <c r="B584" s="84" t="s">
        <v>437</v>
      </c>
      <c r="C584" s="55"/>
      <c r="D584" s="70"/>
      <c r="E584" s="93"/>
      <c r="F584" s="93"/>
      <c r="G584" s="53"/>
    </row>
    <row r="585" spans="1:7" ht="39.6" x14ac:dyDescent="0.25">
      <c r="A585" s="77" t="s">
        <v>439</v>
      </c>
      <c r="B585" s="84" t="s">
        <v>438</v>
      </c>
      <c r="C585" s="55">
        <v>8</v>
      </c>
      <c r="D585" s="70" t="s">
        <v>3</v>
      </c>
      <c r="E585" s="93">
        <f>(363.78*1.3*0.86)*1.44</f>
        <v>585.65669759999992</v>
      </c>
      <c r="F585" s="93">
        <f>C585*E585</f>
        <v>4685.2535807999993</v>
      </c>
      <c r="G585" s="53"/>
    </row>
    <row r="586" spans="1:7" x14ac:dyDescent="0.25">
      <c r="A586" s="77"/>
      <c r="B586" s="53"/>
      <c r="C586" s="55"/>
      <c r="D586" s="70"/>
      <c r="E586" s="93"/>
      <c r="F586" s="93"/>
      <c r="G586" s="53"/>
    </row>
    <row r="587" spans="1:7" s="3" customFormat="1" x14ac:dyDescent="0.25">
      <c r="A587" s="79" t="s">
        <v>441</v>
      </c>
      <c r="B587" s="87" t="s">
        <v>440</v>
      </c>
      <c r="C587" s="116"/>
      <c r="D587" s="117"/>
      <c r="E587" s="121"/>
      <c r="F587" s="121"/>
      <c r="G587" s="115"/>
    </row>
    <row r="588" spans="1:7" ht="26.4" x14ac:dyDescent="0.25">
      <c r="A588" s="77"/>
      <c r="B588" s="84" t="s">
        <v>442</v>
      </c>
      <c r="C588" s="55"/>
      <c r="D588" s="70"/>
      <c r="E588" s="93"/>
      <c r="F588" s="93"/>
      <c r="G588" s="53"/>
    </row>
    <row r="589" spans="1:7" ht="52.8" x14ac:dyDescent="0.25">
      <c r="A589" s="77" t="s">
        <v>444</v>
      </c>
      <c r="B589" s="84" t="s">
        <v>443</v>
      </c>
      <c r="C589" s="55">
        <v>4</v>
      </c>
      <c r="D589" s="70" t="s">
        <v>3</v>
      </c>
      <c r="E589" s="93">
        <f>(497.15*1.3*0.86)*1.44</f>
        <v>800.37172799999985</v>
      </c>
      <c r="F589" s="93">
        <f>C589*E589</f>
        <v>3201.4869119999994</v>
      </c>
      <c r="G589" s="53"/>
    </row>
    <row r="590" spans="1:7" x14ac:dyDescent="0.25">
      <c r="A590" s="77"/>
      <c r="B590" s="53"/>
      <c r="C590" s="55"/>
      <c r="D590" s="70"/>
      <c r="E590" s="93"/>
      <c r="F590" s="93"/>
      <c r="G590" s="53"/>
    </row>
    <row r="591" spans="1:7" s="3" customFormat="1" x14ac:dyDescent="0.25">
      <c r="A591" s="79" t="s">
        <v>446</v>
      </c>
      <c r="B591" s="3" t="s">
        <v>445</v>
      </c>
      <c r="C591" s="116"/>
      <c r="D591" s="117"/>
      <c r="E591" s="121"/>
      <c r="F591" s="166"/>
      <c r="G591" s="115"/>
    </row>
    <row r="592" spans="1:7" x14ac:dyDescent="0.25">
      <c r="A592" s="77"/>
      <c r="B592" s="88" t="s">
        <v>447</v>
      </c>
      <c r="C592" s="55"/>
      <c r="D592" s="70"/>
      <c r="E592" s="93"/>
      <c r="F592" s="93"/>
      <c r="G592" s="53"/>
    </row>
    <row r="593" spans="1:7" x14ac:dyDescent="0.25">
      <c r="A593" s="77" t="s">
        <v>789</v>
      </c>
      <c r="B593" s="88" t="s">
        <v>448</v>
      </c>
      <c r="C593" s="55">
        <v>1</v>
      </c>
      <c r="D593" s="70" t="s">
        <v>3</v>
      </c>
      <c r="E593" s="93">
        <f>(221.79*1.3*0.86)*1.44</f>
        <v>357.06415679999998</v>
      </c>
      <c r="F593" s="93">
        <f>C593*E593</f>
        <v>357.06415679999998</v>
      </c>
      <c r="G593" s="53"/>
    </row>
    <row r="594" spans="1:7" x14ac:dyDescent="0.25">
      <c r="A594" s="77"/>
      <c r="B594" s="53"/>
      <c r="C594" s="55"/>
      <c r="D594" s="70"/>
      <c r="E594" s="93"/>
      <c r="F594" s="93"/>
      <c r="G594" s="53"/>
    </row>
    <row r="595" spans="1:7" s="3" customFormat="1" x14ac:dyDescent="0.25">
      <c r="A595" s="79" t="s">
        <v>450</v>
      </c>
      <c r="B595" s="3" t="s">
        <v>449</v>
      </c>
      <c r="C595" s="116"/>
      <c r="D595" s="117"/>
      <c r="E595" s="121"/>
      <c r="F595" s="121"/>
      <c r="G595" s="115"/>
    </row>
    <row r="596" spans="1:7" x14ac:dyDescent="0.25">
      <c r="A596" s="77"/>
      <c r="B596" s="88" t="s">
        <v>451</v>
      </c>
      <c r="C596" s="55"/>
      <c r="D596" s="70"/>
      <c r="E596" s="93"/>
      <c r="F596" s="93"/>
      <c r="G596" s="53"/>
    </row>
    <row r="597" spans="1:7" x14ac:dyDescent="0.25">
      <c r="A597" s="77" t="s">
        <v>790</v>
      </c>
      <c r="B597" s="88" t="s">
        <v>452</v>
      </c>
      <c r="C597" s="55">
        <v>2</v>
      </c>
      <c r="D597" s="70" t="s">
        <v>3</v>
      </c>
      <c r="E597" s="93">
        <f>(89.89*1.3*0.86)*1.44</f>
        <v>144.71570879999999</v>
      </c>
      <c r="F597" s="93">
        <f>C597*E597</f>
        <v>289.43141759999997</v>
      </c>
      <c r="G597" s="53" t="s">
        <v>1272</v>
      </c>
    </row>
    <row r="598" spans="1:7" x14ac:dyDescent="0.25">
      <c r="A598" s="77"/>
      <c r="B598" s="88"/>
      <c r="C598" s="55"/>
      <c r="D598" s="70"/>
      <c r="E598" s="93"/>
      <c r="F598" s="93"/>
      <c r="G598" s="53"/>
    </row>
    <row r="599" spans="1:7" s="3" customFormat="1" x14ac:dyDescent="0.25">
      <c r="A599" s="79" t="s">
        <v>755</v>
      </c>
      <c r="B599" s="3" t="s">
        <v>756</v>
      </c>
      <c r="C599" s="116"/>
      <c r="D599" s="117"/>
      <c r="E599" s="121"/>
      <c r="F599" s="121"/>
      <c r="G599" s="115"/>
    </row>
    <row r="600" spans="1:7" x14ac:dyDescent="0.25">
      <c r="A600" s="77" t="s">
        <v>791</v>
      </c>
      <c r="B600" s="88" t="s">
        <v>757</v>
      </c>
      <c r="C600" s="55">
        <v>6</v>
      </c>
      <c r="D600" s="70" t="s">
        <v>3</v>
      </c>
      <c r="E600" s="93">
        <f>((115.53+25)*1.3*0.86)*1.44</f>
        <v>226.24205760000004</v>
      </c>
      <c r="F600" s="93">
        <f>C600*E600</f>
        <v>1357.4523456000002</v>
      </c>
      <c r="G600" s="53"/>
    </row>
    <row r="601" spans="1:7" x14ac:dyDescent="0.25">
      <c r="A601" s="77"/>
      <c r="B601" s="53"/>
      <c r="C601" s="55"/>
      <c r="D601" s="70"/>
      <c r="E601" s="93"/>
      <c r="F601" s="93"/>
      <c r="G601" s="53"/>
    </row>
    <row r="602" spans="1:7" x14ac:dyDescent="0.25">
      <c r="A602" s="77"/>
      <c r="B602" s="53"/>
      <c r="C602" s="55"/>
      <c r="D602" s="70"/>
      <c r="E602" s="93"/>
      <c r="F602" s="93"/>
      <c r="G602" s="53"/>
    </row>
    <row r="603" spans="1:7" s="3" customFormat="1" x14ac:dyDescent="0.25">
      <c r="A603" s="85"/>
      <c r="B603" s="11" t="s">
        <v>7</v>
      </c>
      <c r="C603" s="12"/>
      <c r="D603" s="38"/>
      <c r="E603" s="12"/>
      <c r="F603" s="33">
        <f>SUM(F571:F602)</f>
        <v>18414.747935999996</v>
      </c>
      <c r="G603" s="37"/>
    </row>
    <row r="604" spans="1:7" x14ac:dyDescent="0.25">
      <c r="A604" s="129"/>
      <c r="F604" s="81"/>
      <c r="G604" s="130"/>
    </row>
    <row r="605" spans="1:7" s="65" customFormat="1" ht="13.8" x14ac:dyDescent="0.25">
      <c r="A605" s="78">
        <v>32.4</v>
      </c>
      <c r="B605" s="66" t="s">
        <v>725</v>
      </c>
      <c r="C605" s="68" t="s">
        <v>0</v>
      </c>
      <c r="D605" s="68" t="s">
        <v>5</v>
      </c>
      <c r="E605" s="68" t="s">
        <v>10</v>
      </c>
      <c r="F605" s="69" t="s">
        <v>6</v>
      </c>
      <c r="G605" s="66"/>
    </row>
    <row r="606" spans="1:7" s="3" customFormat="1" x14ac:dyDescent="0.25">
      <c r="A606" s="167"/>
      <c r="B606" s="3" t="s">
        <v>726</v>
      </c>
      <c r="C606" s="116"/>
      <c r="D606" s="117"/>
      <c r="E606" s="121"/>
      <c r="F606" s="121"/>
      <c r="G606" s="115"/>
    </row>
    <row r="607" spans="1:7" s="3" customFormat="1" ht="26.4" x14ac:dyDescent="0.25">
      <c r="A607" s="79" t="s">
        <v>703</v>
      </c>
      <c r="B607" s="87" t="s">
        <v>727</v>
      </c>
      <c r="C607" s="116"/>
      <c r="D607" s="117"/>
      <c r="E607" s="121"/>
      <c r="F607" s="121"/>
      <c r="G607" s="115"/>
    </row>
    <row r="608" spans="1:7" x14ac:dyDescent="0.25">
      <c r="A608" s="77" t="s">
        <v>706</v>
      </c>
      <c r="B608" s="84" t="s">
        <v>831</v>
      </c>
      <c r="C608" s="55">
        <v>95</v>
      </c>
      <c r="D608" s="70" t="s">
        <v>3</v>
      </c>
      <c r="E608" s="93">
        <f>(970.2*1.3*0.86)*1.44</f>
        <v>1561.9443840000001</v>
      </c>
      <c r="F608" s="93">
        <f>C608*E608</f>
        <v>148384.71648</v>
      </c>
      <c r="G608" s="53"/>
    </row>
    <row r="609" spans="1:7" x14ac:dyDescent="0.25">
      <c r="A609" s="77"/>
      <c r="B609" s="53"/>
      <c r="C609" s="55"/>
      <c r="D609" s="70"/>
      <c r="E609" s="93"/>
      <c r="F609" s="93"/>
      <c r="G609" s="53"/>
    </row>
    <row r="610" spans="1:7" s="3" customFormat="1" x14ac:dyDescent="0.25">
      <c r="A610" s="85"/>
      <c r="B610" s="11" t="s">
        <v>7</v>
      </c>
      <c r="C610" s="12"/>
      <c r="D610" s="38"/>
      <c r="E610" s="12"/>
      <c r="F610" s="33">
        <f>SUM(F606:F609)</f>
        <v>148384.71648</v>
      </c>
      <c r="G610" s="37"/>
    </row>
    <row r="611" spans="1:7" x14ac:dyDescent="0.25">
      <c r="A611" s="129"/>
      <c r="F611" s="81"/>
      <c r="G611" s="130"/>
    </row>
    <row r="612" spans="1:7" s="65" customFormat="1" ht="13.8" x14ac:dyDescent="0.25">
      <c r="A612" s="78">
        <v>32.5</v>
      </c>
      <c r="B612" s="66" t="s">
        <v>702</v>
      </c>
      <c r="C612" s="68" t="s">
        <v>0</v>
      </c>
      <c r="D612" s="68" t="s">
        <v>5</v>
      </c>
      <c r="E612" s="68" t="s">
        <v>10</v>
      </c>
      <c r="F612" s="69" t="s">
        <v>6</v>
      </c>
      <c r="G612" s="66"/>
    </row>
    <row r="613" spans="1:7" s="3" customFormat="1" x14ac:dyDescent="0.25">
      <c r="A613" s="79" t="s">
        <v>792</v>
      </c>
      <c r="B613" s="3" t="s">
        <v>704</v>
      </c>
      <c r="C613" s="116"/>
      <c r="D613" s="117"/>
      <c r="E613" s="121"/>
      <c r="F613" s="121"/>
      <c r="G613" s="115"/>
    </row>
    <row r="614" spans="1:7" ht="26.4" x14ac:dyDescent="0.25">
      <c r="A614" s="77"/>
      <c r="B614" s="84" t="s">
        <v>707</v>
      </c>
      <c r="C614" s="55"/>
      <c r="D614" s="70"/>
      <c r="E614" s="93"/>
      <c r="F614" s="93"/>
      <c r="G614" s="53"/>
    </row>
    <row r="615" spans="1:7" x14ac:dyDescent="0.25">
      <c r="A615" s="77" t="s">
        <v>793</v>
      </c>
      <c r="B615" s="84" t="s">
        <v>705</v>
      </c>
      <c r="C615" s="55">
        <v>44</v>
      </c>
      <c r="D615" s="70" t="s">
        <v>3</v>
      </c>
      <c r="E615" s="93">
        <f>((375*1.5)*1.3*0.86)*1.44</f>
        <v>905.57999999999993</v>
      </c>
      <c r="F615" s="93">
        <f>C615*E615</f>
        <v>39845.519999999997</v>
      </c>
      <c r="G615" s="53"/>
    </row>
    <row r="616" spans="1:7" x14ac:dyDescent="0.25">
      <c r="A616" s="77"/>
      <c r="B616" s="53"/>
      <c r="C616" s="55"/>
      <c r="D616" s="70"/>
      <c r="E616" s="93"/>
      <c r="F616" s="93"/>
      <c r="G616" s="53"/>
    </row>
    <row r="617" spans="1:7" s="3" customFormat="1" x14ac:dyDescent="0.25">
      <c r="A617" s="85"/>
      <c r="B617" s="11" t="s">
        <v>7</v>
      </c>
      <c r="C617" s="12"/>
      <c r="D617" s="38"/>
      <c r="E617" s="12"/>
      <c r="F617" s="33">
        <f>SUM(F613:F616)</f>
        <v>39845.519999999997</v>
      </c>
      <c r="G617" s="37"/>
    </row>
    <row r="618" spans="1:7" ht="13.8" thickBot="1" x14ac:dyDescent="0.3">
      <c r="A618" s="129"/>
      <c r="F618" s="81"/>
      <c r="G618" s="130"/>
    </row>
    <row r="619" spans="1:7" s="3" customFormat="1" ht="13.8" thickBot="1" x14ac:dyDescent="0.3">
      <c r="A619" s="150"/>
      <c r="B619" s="151" t="s">
        <v>759</v>
      </c>
      <c r="C619" s="152"/>
      <c r="D619" s="153"/>
      <c r="E619" s="152"/>
      <c r="F619" s="154">
        <f>F549+F568+F603+F610+F617</f>
        <v>236707.23791519998</v>
      </c>
      <c r="G619" s="155"/>
    </row>
    <row r="620" spans="1:7" x14ac:dyDescent="0.25">
      <c r="E620" s="98"/>
      <c r="F620" s="98"/>
    </row>
    <row r="621" spans="1:7" s="63" customFormat="1" ht="15.6" x14ac:dyDescent="0.3">
      <c r="A621" s="73">
        <v>33</v>
      </c>
      <c r="B621" s="40" t="s">
        <v>453</v>
      </c>
      <c r="C621" s="59"/>
      <c r="D621" s="60"/>
      <c r="E621" s="162"/>
      <c r="F621" s="162"/>
      <c r="G621" s="40"/>
    </row>
    <row r="622" spans="1:7" s="65" customFormat="1" ht="13.8" x14ac:dyDescent="0.25">
      <c r="A622" s="78">
        <v>33.1</v>
      </c>
      <c r="B622" s="66" t="s">
        <v>454</v>
      </c>
      <c r="C622" s="68" t="s">
        <v>0</v>
      </c>
      <c r="D622" s="68" t="s">
        <v>5</v>
      </c>
      <c r="E622" s="68" t="s">
        <v>10</v>
      </c>
      <c r="F622" s="69" t="s">
        <v>6</v>
      </c>
      <c r="G622" s="66"/>
    </row>
    <row r="623" spans="1:7" s="3" customFormat="1" x14ac:dyDescent="0.25">
      <c r="A623" s="79" t="s">
        <v>456</v>
      </c>
      <c r="B623" s="3" t="s">
        <v>455</v>
      </c>
      <c r="C623" s="116"/>
      <c r="D623" s="117"/>
      <c r="E623" s="121"/>
      <c r="F623" s="121"/>
      <c r="G623" s="115"/>
    </row>
    <row r="624" spans="1:7" x14ac:dyDescent="0.25">
      <c r="A624" s="77"/>
      <c r="B624" s="88" t="s">
        <v>457</v>
      </c>
      <c r="C624" s="55"/>
      <c r="D624" s="70"/>
      <c r="E624" s="93"/>
      <c r="F624" s="93"/>
      <c r="G624" s="53"/>
    </row>
    <row r="625" spans="1:7" ht="26.4" x14ac:dyDescent="0.25">
      <c r="A625" s="77" t="s">
        <v>390</v>
      </c>
      <c r="B625" s="84" t="s">
        <v>458</v>
      </c>
      <c r="C625" s="55">
        <f>108.18+12</f>
        <v>120.18</v>
      </c>
      <c r="D625" s="70" t="s">
        <v>1</v>
      </c>
      <c r="E625" s="93">
        <f>(36.85*1.3*0.86)*1.44</f>
        <v>59.325552000000002</v>
      </c>
      <c r="F625" s="93">
        <f>C625*E625</f>
        <v>7129.7448393600007</v>
      </c>
      <c r="G625" s="53"/>
    </row>
    <row r="626" spans="1:7" x14ac:dyDescent="0.25">
      <c r="A626" s="77"/>
      <c r="B626" s="53"/>
      <c r="C626" s="55"/>
      <c r="D626" s="70"/>
      <c r="E626" s="93"/>
      <c r="F626" s="93"/>
      <c r="G626" s="53"/>
    </row>
    <row r="627" spans="1:7" x14ac:dyDescent="0.25">
      <c r="A627" s="77"/>
      <c r="B627" s="88" t="s">
        <v>459</v>
      </c>
      <c r="C627" s="55"/>
      <c r="D627" s="70"/>
      <c r="E627" s="93"/>
      <c r="F627" s="93"/>
      <c r="G627" s="53"/>
    </row>
    <row r="628" spans="1:7" x14ac:dyDescent="0.25">
      <c r="A628" s="77" t="s">
        <v>462</v>
      </c>
      <c r="B628" s="88" t="s">
        <v>460</v>
      </c>
      <c r="C628" s="55">
        <v>21</v>
      </c>
      <c r="D628" s="70" t="s">
        <v>3</v>
      </c>
      <c r="E628" s="93">
        <f>(88.44*1.3*0.86)*1.44</f>
        <v>142.38132479999999</v>
      </c>
      <c r="F628" s="93">
        <f>C628*E628</f>
        <v>2990.0078207999995</v>
      </c>
      <c r="G628" s="53"/>
    </row>
    <row r="629" spans="1:7" x14ac:dyDescent="0.25">
      <c r="A629" s="77"/>
      <c r="B629" s="53"/>
      <c r="C629" s="55"/>
      <c r="D629" s="70"/>
      <c r="E629" s="93"/>
      <c r="F629" s="93"/>
      <c r="G629" s="53"/>
    </row>
    <row r="630" spans="1:7" x14ac:dyDescent="0.25">
      <c r="A630" s="77"/>
      <c r="B630" s="88" t="s">
        <v>461</v>
      </c>
      <c r="C630" s="55"/>
      <c r="D630" s="70"/>
      <c r="E630" s="93"/>
      <c r="F630" s="93"/>
      <c r="G630" s="53"/>
    </row>
    <row r="631" spans="1:7" x14ac:dyDescent="0.25">
      <c r="A631" s="77" t="s">
        <v>463</v>
      </c>
      <c r="B631" s="88" t="s">
        <v>464</v>
      </c>
      <c r="C631" s="55">
        <v>181.25</v>
      </c>
      <c r="D631" s="70" t="s">
        <v>1</v>
      </c>
      <c r="E631" s="93">
        <f>(43.32*1.3*0.86)*1.44</f>
        <v>69.741734399999999</v>
      </c>
      <c r="F631" s="93">
        <f>C631*E631</f>
        <v>12640.68936</v>
      </c>
      <c r="G631" s="53"/>
    </row>
    <row r="632" spans="1:7" x14ac:dyDescent="0.25">
      <c r="A632" s="77" t="s">
        <v>467</v>
      </c>
      <c r="B632" s="88" t="s">
        <v>465</v>
      </c>
      <c r="C632" s="55">
        <v>8</v>
      </c>
      <c r="D632" s="70" t="s">
        <v>3</v>
      </c>
      <c r="E632" s="93">
        <f>(17.66*1.3*0.86)*1.44</f>
        <v>28.4311872</v>
      </c>
      <c r="F632" s="93">
        <f>C632*E632</f>
        <v>227.4494976</v>
      </c>
      <c r="G632" s="53"/>
    </row>
    <row r="633" spans="1:7" x14ac:dyDescent="0.25">
      <c r="A633" s="77" t="s">
        <v>468</v>
      </c>
      <c r="B633" s="88" t="s">
        <v>466</v>
      </c>
      <c r="C633" s="55">
        <v>14</v>
      </c>
      <c r="D633" s="70" t="s">
        <v>3</v>
      </c>
      <c r="E633" s="93">
        <f>(26.5*1.3*0.86)*1.44</f>
        <v>42.662880000000001</v>
      </c>
      <c r="F633" s="93">
        <f>C633*E633</f>
        <v>597.28032000000007</v>
      </c>
      <c r="G633" s="53"/>
    </row>
    <row r="634" spans="1:7" x14ac:dyDescent="0.25">
      <c r="A634" s="77"/>
      <c r="B634" s="53"/>
      <c r="C634" s="55"/>
      <c r="D634" s="70"/>
      <c r="E634" s="93"/>
      <c r="F634" s="93"/>
      <c r="G634" s="53"/>
    </row>
    <row r="635" spans="1:7" x14ac:dyDescent="0.25">
      <c r="A635" s="77"/>
      <c r="B635" s="53"/>
      <c r="C635" s="55"/>
      <c r="D635" s="70"/>
      <c r="E635" s="93"/>
      <c r="F635" s="93"/>
      <c r="G635" s="53"/>
    </row>
    <row r="636" spans="1:7" s="3" customFormat="1" x14ac:dyDescent="0.25">
      <c r="A636" s="85"/>
      <c r="B636" s="11" t="s">
        <v>7</v>
      </c>
      <c r="C636" s="12"/>
      <c r="D636" s="38"/>
      <c r="E636" s="12"/>
      <c r="F636" s="33">
        <f>SUM(F623:F635)</f>
        <v>23585.171837760001</v>
      </c>
      <c r="G636" s="37"/>
    </row>
    <row r="637" spans="1:7" x14ac:dyDescent="0.25">
      <c r="E637" s="98"/>
      <c r="F637" s="98"/>
    </row>
    <row r="638" spans="1:7" s="65" customFormat="1" ht="13.8" x14ac:dyDescent="0.25">
      <c r="A638" s="78">
        <v>33.200000000000003</v>
      </c>
      <c r="B638" s="66" t="s">
        <v>483</v>
      </c>
      <c r="C638" s="68" t="s">
        <v>0</v>
      </c>
      <c r="D638" s="68" t="s">
        <v>5</v>
      </c>
      <c r="E638" s="68" t="s">
        <v>10</v>
      </c>
      <c r="F638" s="69" t="s">
        <v>6</v>
      </c>
      <c r="G638" s="66"/>
    </row>
    <row r="639" spans="1:7" s="3" customFormat="1" ht="27.6" customHeight="1" x14ac:dyDescent="0.25">
      <c r="A639" s="79" t="s">
        <v>469</v>
      </c>
      <c r="B639" s="87" t="s">
        <v>482</v>
      </c>
      <c r="C639" s="116"/>
      <c r="D639" s="117"/>
      <c r="E639" s="121"/>
      <c r="F639" s="121"/>
      <c r="G639" s="115"/>
    </row>
    <row r="640" spans="1:7" x14ac:dyDescent="0.25">
      <c r="A640" s="77" t="s">
        <v>470</v>
      </c>
      <c r="B640" s="88" t="s">
        <v>484</v>
      </c>
      <c r="C640" s="55">
        <f>16.49+4</f>
        <v>20.49</v>
      </c>
      <c r="D640" s="70" t="s">
        <v>1</v>
      </c>
      <c r="E640" s="93">
        <f>(8.87*1.3*0.86)*1.44</f>
        <v>14.279990399999997</v>
      </c>
      <c r="F640" s="93">
        <f>C640*E640</f>
        <v>292.59700329599991</v>
      </c>
      <c r="G640" s="53"/>
    </row>
    <row r="641" spans="1:7" x14ac:dyDescent="0.25">
      <c r="A641" s="77"/>
      <c r="B641" s="88"/>
      <c r="C641" s="55"/>
      <c r="D641" s="70"/>
      <c r="E641" s="93"/>
      <c r="F641" s="93"/>
      <c r="G641" s="53"/>
    </row>
    <row r="642" spans="1:7" s="3" customFormat="1" x14ac:dyDescent="0.25">
      <c r="A642" s="79" t="s">
        <v>486</v>
      </c>
      <c r="B642" s="3" t="s">
        <v>485</v>
      </c>
      <c r="C642" s="116"/>
      <c r="D642" s="117"/>
      <c r="E642" s="121"/>
      <c r="F642" s="121"/>
      <c r="G642" s="115"/>
    </row>
    <row r="643" spans="1:7" x14ac:dyDescent="0.25">
      <c r="A643" s="77"/>
      <c r="B643" s="88" t="s">
        <v>488</v>
      </c>
      <c r="C643" s="55"/>
      <c r="D643" s="70"/>
      <c r="E643" s="93"/>
      <c r="F643" s="93"/>
      <c r="G643" s="53"/>
    </row>
    <row r="644" spans="1:7" x14ac:dyDescent="0.25">
      <c r="A644" s="77" t="s">
        <v>487</v>
      </c>
      <c r="B644" s="88" t="s">
        <v>489</v>
      </c>
      <c r="C644" s="71">
        <f>C640*2+8</f>
        <v>48.98</v>
      </c>
      <c r="D644" s="70" t="s">
        <v>1</v>
      </c>
      <c r="E644" s="93">
        <f>(6.75*1.3*0.86)*1.44</f>
        <v>10.866959999999999</v>
      </c>
      <c r="F644" s="93">
        <f>C644*E644</f>
        <v>532.26370079999992</v>
      </c>
      <c r="G644" s="53" t="s">
        <v>1273</v>
      </c>
    </row>
    <row r="645" spans="1:7" x14ac:dyDescent="0.25">
      <c r="A645" s="77"/>
      <c r="B645" s="88"/>
      <c r="C645" s="55"/>
      <c r="D645" s="70"/>
      <c r="E645" s="93"/>
      <c r="F645" s="93"/>
      <c r="G645" s="53"/>
    </row>
    <row r="646" spans="1:7" s="3" customFormat="1" x14ac:dyDescent="0.25">
      <c r="A646" s="79" t="s">
        <v>491</v>
      </c>
      <c r="B646" s="3" t="s">
        <v>490</v>
      </c>
      <c r="C646" s="116"/>
      <c r="D646" s="117"/>
      <c r="E646" s="121"/>
      <c r="F646" s="121"/>
      <c r="G646" s="115"/>
    </row>
    <row r="647" spans="1:7" x14ac:dyDescent="0.25">
      <c r="A647" s="77"/>
      <c r="B647" s="88" t="s">
        <v>492</v>
      </c>
      <c r="C647" s="55"/>
      <c r="D647" s="70"/>
      <c r="E647" s="93"/>
      <c r="F647" s="93"/>
      <c r="G647" s="53"/>
    </row>
    <row r="648" spans="1:7" x14ac:dyDescent="0.25">
      <c r="A648" s="77" t="s">
        <v>494</v>
      </c>
      <c r="B648" s="88" t="s">
        <v>493</v>
      </c>
      <c r="C648" s="55">
        <f>11+2</f>
        <v>13</v>
      </c>
      <c r="D648" s="70" t="s">
        <v>3</v>
      </c>
      <c r="E648" s="93">
        <f>(7.98*1.3*0.86)*1.44</f>
        <v>12.8471616</v>
      </c>
      <c r="F648" s="93">
        <f>C648*E648</f>
        <v>167.01310079999999</v>
      </c>
      <c r="G648" s="53"/>
    </row>
    <row r="649" spans="1:7" x14ac:dyDescent="0.25">
      <c r="A649" s="77"/>
      <c r="B649" s="88"/>
      <c r="C649" s="55"/>
      <c r="D649" s="70"/>
      <c r="E649" s="93"/>
      <c r="F649" s="93"/>
      <c r="G649" s="53"/>
    </row>
    <row r="650" spans="1:7" s="3" customFormat="1" ht="26.4" x14ac:dyDescent="0.25">
      <c r="A650" s="79" t="s">
        <v>495</v>
      </c>
      <c r="B650" s="87" t="s">
        <v>502</v>
      </c>
      <c r="C650" s="168"/>
      <c r="D650" s="117"/>
      <c r="E650" s="121"/>
      <c r="F650" s="121"/>
      <c r="G650" s="115"/>
    </row>
    <row r="651" spans="1:7" x14ac:dyDescent="0.25">
      <c r="A651" s="77"/>
      <c r="B651" s="88" t="s">
        <v>503</v>
      </c>
      <c r="C651" s="137"/>
      <c r="D651" s="70"/>
      <c r="E651" s="93"/>
      <c r="F651" s="93"/>
      <c r="G651" s="53"/>
    </row>
    <row r="652" spans="1:7" x14ac:dyDescent="0.25">
      <c r="A652" s="77" t="s">
        <v>497</v>
      </c>
      <c r="B652" s="88" t="s">
        <v>504</v>
      </c>
      <c r="C652" s="137">
        <v>11</v>
      </c>
      <c r="D652" s="70" t="s">
        <v>3</v>
      </c>
      <c r="E652" s="93">
        <f>(29.94*1.3*0.86)*1.44</f>
        <v>48.2010048</v>
      </c>
      <c r="F652" s="93">
        <f>C652*E652</f>
        <v>530.21105279999995</v>
      </c>
      <c r="G652" s="53"/>
    </row>
    <row r="653" spans="1:7" x14ac:dyDescent="0.25">
      <c r="A653" s="77" t="s">
        <v>508</v>
      </c>
      <c r="B653" s="88" t="s">
        <v>505</v>
      </c>
      <c r="C653" s="137">
        <v>1</v>
      </c>
      <c r="D653" s="70" t="s">
        <v>3</v>
      </c>
      <c r="E653" s="93">
        <f>(25.66*1.3*0.86)*1.44</f>
        <v>41.310547200000002</v>
      </c>
      <c r="F653" s="93">
        <f>C653*E653</f>
        <v>41.310547200000002</v>
      </c>
      <c r="G653" s="53"/>
    </row>
    <row r="654" spans="1:7" x14ac:dyDescent="0.25">
      <c r="A654" s="77"/>
      <c r="B654" s="88"/>
      <c r="C654" s="137"/>
      <c r="D654" s="70"/>
      <c r="E654" s="93"/>
      <c r="F654" s="93"/>
      <c r="G654" s="53"/>
    </row>
    <row r="655" spans="1:7" x14ac:dyDescent="0.25">
      <c r="A655" s="77"/>
      <c r="B655" s="88" t="s">
        <v>506</v>
      </c>
      <c r="C655" s="137"/>
      <c r="D655" s="70"/>
      <c r="E655" s="93"/>
      <c r="F655" s="93"/>
      <c r="G655" s="53"/>
    </row>
    <row r="656" spans="1:7" x14ac:dyDescent="0.25">
      <c r="A656" s="77" t="s">
        <v>509</v>
      </c>
      <c r="B656" s="88" t="s">
        <v>507</v>
      </c>
      <c r="C656" s="137">
        <v>8</v>
      </c>
      <c r="D656" s="70" t="s">
        <v>3</v>
      </c>
      <c r="E656" s="93">
        <f>(17.36*1.3*0.86)*1.44</f>
        <v>27.948211199999999</v>
      </c>
      <c r="F656" s="93">
        <f>C656*E656</f>
        <v>223.58568959999999</v>
      </c>
      <c r="G656" s="53"/>
    </row>
    <row r="657" spans="1:7" x14ac:dyDescent="0.25">
      <c r="A657" s="77"/>
      <c r="B657" s="88"/>
      <c r="C657" s="137"/>
      <c r="D657" s="70"/>
      <c r="E657" s="93"/>
      <c r="F657" s="93"/>
      <c r="G657" s="53"/>
    </row>
    <row r="658" spans="1:7" s="3" customFormat="1" ht="26.4" x14ac:dyDescent="0.25">
      <c r="A658" s="79" t="s">
        <v>498</v>
      </c>
      <c r="B658" s="87" t="s">
        <v>510</v>
      </c>
      <c r="C658" s="168"/>
      <c r="D658" s="117"/>
      <c r="E658" s="121"/>
      <c r="F658" s="121"/>
      <c r="G658" s="115"/>
    </row>
    <row r="659" spans="1:7" x14ac:dyDescent="0.25">
      <c r="A659" s="77"/>
      <c r="B659" s="88" t="s">
        <v>496</v>
      </c>
      <c r="C659" s="137"/>
      <c r="D659" s="70"/>
      <c r="E659" s="93"/>
      <c r="F659" s="93"/>
      <c r="G659" s="53"/>
    </row>
    <row r="660" spans="1:7" x14ac:dyDescent="0.25">
      <c r="A660" s="77" t="s">
        <v>499</v>
      </c>
      <c r="B660" s="88" t="s">
        <v>511</v>
      </c>
      <c r="C660" s="71">
        <v>5.59</v>
      </c>
      <c r="D660" s="70" t="s">
        <v>1</v>
      </c>
      <c r="E660" s="93">
        <f>(24.71*1.3*0.86)*1.44</f>
        <v>39.781123200000003</v>
      </c>
      <c r="F660" s="93">
        <f>C660*E660</f>
        <v>222.37647868800002</v>
      </c>
      <c r="G660" s="53"/>
    </row>
    <row r="661" spans="1:7" x14ac:dyDescent="0.25">
      <c r="A661" s="77"/>
      <c r="B661" s="88"/>
      <c r="C661" s="137"/>
      <c r="D661" s="70"/>
      <c r="E661" s="93"/>
      <c r="F661" s="93"/>
      <c r="G661" s="53"/>
    </row>
    <row r="662" spans="1:7" s="3" customFormat="1" x14ac:dyDescent="0.25">
      <c r="A662" s="79" t="s">
        <v>500</v>
      </c>
      <c r="B662" s="3" t="s">
        <v>485</v>
      </c>
      <c r="C662" s="168"/>
      <c r="D662" s="117"/>
      <c r="E662" s="121"/>
      <c r="F662" s="121"/>
      <c r="G662" s="115"/>
    </row>
    <row r="663" spans="1:7" x14ac:dyDescent="0.25">
      <c r="A663" s="92"/>
      <c r="B663" s="88" t="s">
        <v>512</v>
      </c>
      <c r="C663" s="100"/>
      <c r="D663" s="88"/>
      <c r="E663" s="93"/>
      <c r="F663" s="93"/>
      <c r="G663" s="53"/>
    </row>
    <row r="664" spans="1:7" x14ac:dyDescent="0.25">
      <c r="A664" s="77" t="s">
        <v>501</v>
      </c>
      <c r="B664" s="88" t="s">
        <v>511</v>
      </c>
      <c r="C664" s="137">
        <f>C660*2</f>
        <v>11.18</v>
      </c>
      <c r="D664" s="70" t="s">
        <v>3</v>
      </c>
      <c r="E664" s="93">
        <f>(10.04*1.3*0.86)*1.44</f>
        <v>16.163596800000001</v>
      </c>
      <c r="F664" s="93">
        <f>C664*E664</f>
        <v>180.70901222399999</v>
      </c>
      <c r="G664" s="53" t="s">
        <v>1274</v>
      </c>
    </row>
    <row r="665" spans="1:7" x14ac:dyDescent="0.25">
      <c r="A665" s="77"/>
      <c r="B665" s="88"/>
      <c r="C665" s="137"/>
      <c r="D665" s="70"/>
      <c r="E665" s="93"/>
      <c r="F665" s="93"/>
      <c r="G665" s="53"/>
    </row>
    <row r="666" spans="1:7" s="3" customFormat="1" x14ac:dyDescent="0.25">
      <c r="A666" s="79" t="s">
        <v>515</v>
      </c>
      <c r="B666" s="3" t="s">
        <v>513</v>
      </c>
      <c r="C666" s="168"/>
      <c r="D666" s="117"/>
      <c r="E666" s="121"/>
      <c r="F666" s="121"/>
      <c r="G666" s="115"/>
    </row>
    <row r="667" spans="1:7" x14ac:dyDescent="0.25">
      <c r="A667" s="77"/>
      <c r="B667" s="88" t="s">
        <v>514</v>
      </c>
      <c r="C667" s="137"/>
      <c r="D667" s="70"/>
      <c r="E667" s="93"/>
      <c r="F667" s="93"/>
      <c r="G667" s="53"/>
    </row>
    <row r="668" spans="1:7" x14ac:dyDescent="0.25">
      <c r="A668" s="77" t="s">
        <v>516</v>
      </c>
      <c r="B668" s="88" t="s">
        <v>511</v>
      </c>
      <c r="C668" s="137">
        <v>15</v>
      </c>
      <c r="D668" s="70" t="s">
        <v>3</v>
      </c>
      <c r="E668" s="93">
        <f>(26.97*1.3*0.86)*1.44</f>
        <v>43.419542399999997</v>
      </c>
      <c r="F668" s="93">
        <f>C668*E668</f>
        <v>651.293136</v>
      </c>
      <c r="G668" s="53"/>
    </row>
    <row r="669" spans="1:7" x14ac:dyDescent="0.25">
      <c r="A669" s="77"/>
      <c r="B669" s="88"/>
      <c r="C669" s="137"/>
      <c r="D669" s="70"/>
      <c r="E669" s="93"/>
      <c r="F669" s="93"/>
      <c r="G669" s="53"/>
    </row>
    <row r="670" spans="1:7" x14ac:dyDescent="0.25">
      <c r="A670" s="77"/>
      <c r="B670" s="53"/>
      <c r="C670" s="55"/>
      <c r="D670" s="70"/>
      <c r="E670" s="93"/>
      <c r="F670" s="93"/>
      <c r="G670" s="53"/>
    </row>
    <row r="671" spans="1:7" s="3" customFormat="1" x14ac:dyDescent="0.25">
      <c r="A671" s="85"/>
      <c r="B671" s="11" t="s">
        <v>7</v>
      </c>
      <c r="C671" s="12"/>
      <c r="D671" s="38"/>
      <c r="E671" s="12"/>
      <c r="F671" s="33">
        <f>SUM(F639:F670)</f>
        <v>2841.359721408</v>
      </c>
      <c r="G671" s="37"/>
    </row>
    <row r="672" spans="1:7" s="3" customFormat="1" ht="13.8" thickBot="1" x14ac:dyDescent="0.3">
      <c r="A672" s="107"/>
      <c r="B672" s="39"/>
      <c r="C672" s="108"/>
      <c r="D672" s="109"/>
      <c r="E672" s="108"/>
      <c r="F672" s="110"/>
      <c r="G672" s="111"/>
    </row>
    <row r="673" spans="1:7" s="3" customFormat="1" ht="13.8" thickBot="1" x14ac:dyDescent="0.3">
      <c r="A673" s="150"/>
      <c r="B673" s="151" t="s">
        <v>759</v>
      </c>
      <c r="C673" s="152"/>
      <c r="D673" s="153"/>
      <c r="E673" s="152"/>
      <c r="F673" s="154">
        <f>F636+F671</f>
        <v>26426.531559168001</v>
      </c>
      <c r="G673" s="155"/>
    </row>
    <row r="674" spans="1:7" x14ac:dyDescent="0.25">
      <c r="E674" s="98"/>
      <c r="F674" s="98"/>
    </row>
    <row r="675" spans="1:7" s="63" customFormat="1" ht="15.6" x14ac:dyDescent="0.3">
      <c r="A675" s="73">
        <v>41</v>
      </c>
      <c r="B675" s="40" t="s">
        <v>675</v>
      </c>
      <c r="C675" s="59"/>
      <c r="D675" s="60"/>
      <c r="E675" s="162"/>
      <c r="F675" s="162"/>
      <c r="G675" s="40"/>
    </row>
    <row r="676" spans="1:7" s="65" customFormat="1" ht="13.8" x14ac:dyDescent="0.25">
      <c r="A676" s="78">
        <v>41.1</v>
      </c>
      <c r="B676" s="66" t="s">
        <v>676</v>
      </c>
      <c r="C676" s="68" t="s">
        <v>0</v>
      </c>
      <c r="D676" s="68" t="s">
        <v>5</v>
      </c>
      <c r="E676" s="68" t="s">
        <v>10</v>
      </c>
      <c r="F676" s="69" t="s">
        <v>6</v>
      </c>
      <c r="G676" s="66"/>
    </row>
    <row r="677" spans="1:7" s="3" customFormat="1" ht="52.8" x14ac:dyDescent="0.25">
      <c r="A677" s="79" t="s">
        <v>678</v>
      </c>
      <c r="B677" s="87" t="s">
        <v>677</v>
      </c>
      <c r="C677" s="116"/>
      <c r="D677" s="117"/>
      <c r="E677" s="121"/>
      <c r="F677" s="121"/>
      <c r="G677" s="115"/>
    </row>
    <row r="678" spans="1:7" x14ac:dyDescent="0.25">
      <c r="A678" s="77"/>
      <c r="B678" s="88" t="s">
        <v>679</v>
      </c>
      <c r="C678" s="55"/>
      <c r="D678" s="70"/>
      <c r="E678" s="93"/>
      <c r="F678" s="93"/>
      <c r="G678" s="53"/>
    </row>
    <row r="679" spans="1:7" x14ac:dyDescent="0.25">
      <c r="A679" s="77" t="s">
        <v>795</v>
      </c>
      <c r="B679" s="88" t="s">
        <v>680</v>
      </c>
      <c r="C679" s="55">
        <v>138</v>
      </c>
      <c r="D679" s="70" t="s">
        <v>3</v>
      </c>
      <c r="E679" s="93">
        <f>(6.74*1.3*0.86)*1.44</f>
        <v>10.8508608</v>
      </c>
      <c r="F679" s="93">
        <f>C679*E679</f>
        <v>1497.4187904</v>
      </c>
      <c r="G679" s="53"/>
    </row>
    <row r="680" spans="1:7" x14ac:dyDescent="0.25">
      <c r="A680" s="77" t="s">
        <v>796</v>
      </c>
      <c r="B680" s="88" t="s">
        <v>681</v>
      </c>
      <c r="C680" s="55">
        <v>87</v>
      </c>
      <c r="D680" s="70" t="s">
        <v>3</v>
      </c>
      <c r="E680" s="93">
        <f>(12.21*1.3*0.86)*1.44</f>
        <v>19.657123200000001</v>
      </c>
      <c r="F680" s="93">
        <f>C680*E680</f>
        <v>1710.1697184</v>
      </c>
      <c r="G680" s="53"/>
    </row>
    <row r="681" spans="1:7" x14ac:dyDescent="0.25">
      <c r="A681" s="77" t="s">
        <v>797</v>
      </c>
      <c r="B681" s="88" t="s">
        <v>682</v>
      </c>
      <c r="C681" s="55">
        <v>39</v>
      </c>
      <c r="D681" s="70" t="s">
        <v>3</v>
      </c>
      <c r="E681" s="93">
        <f>(12.21*1.3*0.86)*1.44</f>
        <v>19.657123200000001</v>
      </c>
      <c r="F681" s="93">
        <f>C681*E681</f>
        <v>766.62780480000004</v>
      </c>
      <c r="G681" s="53"/>
    </row>
    <row r="682" spans="1:7" x14ac:dyDescent="0.25">
      <c r="A682" s="77"/>
      <c r="B682" s="53"/>
      <c r="C682" s="55"/>
      <c r="D682" s="70"/>
      <c r="E682" s="93"/>
      <c r="F682" s="93"/>
      <c r="G682" s="53"/>
    </row>
    <row r="683" spans="1:7" s="3" customFormat="1" x14ac:dyDescent="0.25">
      <c r="A683" s="79" t="s">
        <v>684</v>
      </c>
      <c r="B683" s="3" t="s">
        <v>683</v>
      </c>
      <c r="C683" s="116"/>
      <c r="D683" s="117"/>
      <c r="E683" s="121"/>
      <c r="F683" s="121"/>
      <c r="G683" s="115"/>
    </row>
    <row r="684" spans="1:7" x14ac:dyDescent="0.25">
      <c r="A684" s="77"/>
      <c r="B684" s="88" t="s">
        <v>685</v>
      </c>
      <c r="C684" s="55"/>
      <c r="D684" s="70"/>
      <c r="E684" s="93"/>
      <c r="F684" s="93"/>
      <c r="G684" s="53"/>
    </row>
    <row r="685" spans="1:7" x14ac:dyDescent="0.25">
      <c r="A685" s="77" t="s">
        <v>798</v>
      </c>
      <c r="B685" s="88" t="s">
        <v>686</v>
      </c>
      <c r="C685" s="55">
        <v>79</v>
      </c>
      <c r="D685" s="70" t="s">
        <v>3</v>
      </c>
      <c r="E685" s="93">
        <f>(4.17*1.3*0.86)*1.44</f>
        <v>6.7133664</v>
      </c>
      <c r="F685" s="93">
        <f>C685*E685</f>
        <v>530.35594560000004</v>
      </c>
      <c r="G685" s="53"/>
    </row>
    <row r="686" spans="1:7" x14ac:dyDescent="0.25">
      <c r="A686" s="77"/>
      <c r="B686" s="53"/>
      <c r="C686" s="55"/>
      <c r="D686" s="70"/>
      <c r="E686" s="93"/>
      <c r="F686" s="93"/>
      <c r="G686" s="53"/>
    </row>
    <row r="687" spans="1:7" ht="26.4" x14ac:dyDescent="0.25">
      <c r="A687" s="77"/>
      <c r="B687" s="84" t="s">
        <v>687</v>
      </c>
      <c r="C687" s="55"/>
      <c r="D687" s="70"/>
      <c r="E687" s="93"/>
      <c r="F687" s="93"/>
      <c r="G687" s="53"/>
    </row>
    <row r="688" spans="1:7" x14ac:dyDescent="0.25">
      <c r="A688" s="77" t="s">
        <v>799</v>
      </c>
      <c r="B688" s="88" t="s">
        <v>688</v>
      </c>
      <c r="C688" s="55">
        <v>113</v>
      </c>
      <c r="D688" s="70" t="s">
        <v>3</v>
      </c>
      <c r="E688" s="93">
        <f>(6.61*1.3*0.86)*1.44</f>
        <v>10.6415712</v>
      </c>
      <c r="F688" s="93">
        <f>C688*E688</f>
        <v>1202.4975456</v>
      </c>
      <c r="G688" s="53"/>
    </row>
    <row r="689" spans="1:7" x14ac:dyDescent="0.25">
      <c r="A689" s="77"/>
      <c r="B689" s="53"/>
      <c r="C689" s="55"/>
      <c r="D689" s="70"/>
      <c r="E689" s="93"/>
      <c r="F689" s="93"/>
      <c r="G689" s="53"/>
    </row>
    <row r="690" spans="1:7" x14ac:dyDescent="0.25">
      <c r="A690" s="77"/>
      <c r="B690" s="88" t="s">
        <v>689</v>
      </c>
      <c r="C690" s="55"/>
      <c r="D690" s="70"/>
      <c r="E690" s="93"/>
      <c r="F690" s="93"/>
      <c r="G690" s="53"/>
    </row>
    <row r="691" spans="1:7" x14ac:dyDescent="0.25">
      <c r="A691" s="77" t="s">
        <v>800</v>
      </c>
      <c r="B691" s="88" t="s">
        <v>690</v>
      </c>
      <c r="C691" s="55">
        <f>17*2</f>
        <v>34</v>
      </c>
      <c r="D691" s="70" t="s">
        <v>3</v>
      </c>
      <c r="E691" s="93">
        <f>(9.25*1.3*0.86)*1.44</f>
        <v>14.89176</v>
      </c>
      <c r="F691" s="93">
        <f>C691*E691</f>
        <v>506.31984</v>
      </c>
      <c r="G691" s="53"/>
    </row>
    <row r="692" spans="1:7" x14ac:dyDescent="0.25">
      <c r="A692" s="77" t="s">
        <v>801</v>
      </c>
      <c r="B692" s="88" t="s">
        <v>688</v>
      </c>
      <c r="C692" s="55">
        <v>12</v>
      </c>
      <c r="D692" s="70" t="s">
        <v>3</v>
      </c>
      <c r="E692" s="93">
        <f>(12.39*1.3*0.86)*1.44</f>
        <v>19.946908800000003</v>
      </c>
      <c r="F692" s="93">
        <f>C692*E692</f>
        <v>239.36290560000003</v>
      </c>
      <c r="G692" s="53"/>
    </row>
    <row r="693" spans="1:7" x14ac:dyDescent="0.25">
      <c r="A693" s="77"/>
      <c r="B693" s="88"/>
      <c r="C693" s="55"/>
      <c r="D693" s="70"/>
      <c r="E693" s="93"/>
      <c r="F693" s="93"/>
      <c r="G693" s="53"/>
    </row>
    <row r="694" spans="1:7" x14ac:dyDescent="0.25">
      <c r="A694" s="77"/>
      <c r="B694" s="53"/>
      <c r="C694" s="55"/>
      <c r="D694" s="70"/>
      <c r="E694" s="93"/>
      <c r="F694" s="93"/>
      <c r="G694" s="53"/>
    </row>
    <row r="695" spans="1:7" s="3" customFormat="1" x14ac:dyDescent="0.25">
      <c r="A695" s="85"/>
      <c r="B695" s="11" t="s">
        <v>7</v>
      </c>
      <c r="C695" s="12"/>
      <c r="D695" s="38"/>
      <c r="E695" s="12"/>
      <c r="F695" s="33">
        <f>SUM(F677:F694)</f>
        <v>6452.7525504000005</v>
      </c>
      <c r="G695" s="37"/>
    </row>
    <row r="696" spans="1:7" ht="13.8" thickBot="1" x14ac:dyDescent="0.3"/>
    <row r="697" spans="1:7" s="3" customFormat="1" ht="13.8" thickBot="1" x14ac:dyDescent="0.3">
      <c r="A697" s="150"/>
      <c r="B697" s="151" t="s">
        <v>759</v>
      </c>
      <c r="C697" s="152"/>
      <c r="D697" s="153"/>
      <c r="E697" s="152"/>
      <c r="F697" s="154">
        <f>F695</f>
        <v>6452.7525504000005</v>
      </c>
      <c r="G697" s="155"/>
    </row>
    <row r="698" spans="1:7" s="3" customFormat="1" x14ac:dyDescent="0.25">
      <c r="A698" s="107"/>
      <c r="B698" s="39"/>
      <c r="C698" s="108"/>
      <c r="D698" s="109"/>
      <c r="E698" s="108"/>
      <c r="F698" s="110"/>
      <c r="G698" s="111"/>
    </row>
    <row r="699" spans="1:7" s="63" customFormat="1" ht="15.6" x14ac:dyDescent="0.3">
      <c r="A699" s="73">
        <v>42</v>
      </c>
      <c r="B699" s="40" t="s">
        <v>517</v>
      </c>
      <c r="C699" s="59"/>
      <c r="D699" s="60"/>
      <c r="E699" s="162"/>
      <c r="F699" s="162"/>
      <c r="G699" s="40"/>
    </row>
    <row r="700" spans="1:7" s="65" customFormat="1" ht="13.8" x14ac:dyDescent="0.25">
      <c r="A700" s="78">
        <v>42</v>
      </c>
      <c r="B700" s="66" t="s">
        <v>552</v>
      </c>
      <c r="C700" s="68" t="s">
        <v>0</v>
      </c>
      <c r="D700" s="68" t="s">
        <v>5</v>
      </c>
      <c r="E700" s="68" t="s">
        <v>10</v>
      </c>
      <c r="F700" s="69" t="s">
        <v>6</v>
      </c>
      <c r="G700" s="66"/>
    </row>
    <row r="701" spans="1:7" s="3" customFormat="1" ht="26.4" x14ac:dyDescent="0.25">
      <c r="A701" s="79" t="s">
        <v>1284</v>
      </c>
      <c r="B701" s="87" t="s">
        <v>518</v>
      </c>
      <c r="C701" s="116"/>
      <c r="D701" s="117"/>
      <c r="E701" s="121"/>
      <c r="F701" s="121"/>
      <c r="G701" s="115"/>
    </row>
    <row r="702" spans="1:7" x14ac:dyDescent="0.25">
      <c r="A702" s="77"/>
      <c r="B702" s="88" t="s">
        <v>519</v>
      </c>
      <c r="C702" s="55"/>
      <c r="D702" s="70"/>
      <c r="E702" s="93"/>
      <c r="F702" s="93"/>
      <c r="G702" s="53"/>
    </row>
    <row r="703" spans="1:7" x14ac:dyDescent="0.25">
      <c r="A703" s="77" t="s">
        <v>1285</v>
      </c>
      <c r="B703" s="88" t="s">
        <v>520</v>
      </c>
      <c r="C703" s="55">
        <v>67.53</v>
      </c>
      <c r="D703" s="70" t="s">
        <v>1</v>
      </c>
      <c r="E703" s="93">
        <f>(20.75*1.3*0.86)*1.44</f>
        <v>33.405839999999998</v>
      </c>
      <c r="F703" s="93">
        <f>C703*E703</f>
        <v>2255.8963752</v>
      </c>
      <c r="G703" s="53"/>
    </row>
    <row r="704" spans="1:7" x14ac:dyDescent="0.25">
      <c r="A704" s="77"/>
      <c r="B704" s="53"/>
      <c r="C704" s="55"/>
      <c r="D704" s="70"/>
      <c r="E704" s="93"/>
      <c r="F704" s="93"/>
      <c r="G704" s="53"/>
    </row>
    <row r="705" spans="1:7" s="3" customFormat="1" x14ac:dyDescent="0.25">
      <c r="A705" s="79" t="s">
        <v>1286</v>
      </c>
      <c r="B705" s="3" t="s">
        <v>485</v>
      </c>
      <c r="C705" s="116"/>
      <c r="D705" s="117"/>
      <c r="E705" s="121"/>
      <c r="F705" s="121"/>
      <c r="G705" s="115"/>
    </row>
    <row r="706" spans="1:7" x14ac:dyDescent="0.25">
      <c r="A706" s="77"/>
      <c r="B706" s="88" t="s">
        <v>521</v>
      </c>
      <c r="C706" s="55"/>
      <c r="D706" s="70"/>
      <c r="E706" s="93"/>
      <c r="F706" s="93"/>
      <c r="G706" s="53"/>
    </row>
    <row r="707" spans="1:7" x14ac:dyDescent="0.25">
      <c r="A707" s="77" t="s">
        <v>1287</v>
      </c>
      <c r="B707" s="88" t="s">
        <v>520</v>
      </c>
      <c r="C707" s="137">
        <f>C703*2</f>
        <v>135.06</v>
      </c>
      <c r="D707" s="70" t="s">
        <v>3</v>
      </c>
      <c r="E707" s="93">
        <f>(5.29*1.3*0.86)*1.44</f>
        <v>8.5164767999999995</v>
      </c>
      <c r="F707" s="93">
        <f>C707*E707</f>
        <v>1150.2353566079998</v>
      </c>
      <c r="G707" s="53" t="s">
        <v>1274</v>
      </c>
    </row>
    <row r="708" spans="1:7" x14ac:dyDescent="0.25">
      <c r="A708" s="77"/>
      <c r="B708" s="53"/>
      <c r="C708" s="55"/>
      <c r="D708" s="70"/>
      <c r="E708" s="93"/>
      <c r="F708" s="93"/>
      <c r="G708" s="53"/>
    </row>
    <row r="709" spans="1:7" x14ac:dyDescent="0.25">
      <c r="A709" s="77"/>
      <c r="B709" s="88" t="s">
        <v>522</v>
      </c>
      <c r="C709" s="55"/>
      <c r="D709" s="70"/>
      <c r="E709" s="93"/>
      <c r="F709" s="93"/>
      <c r="G709" s="53"/>
    </row>
    <row r="710" spans="1:7" x14ac:dyDescent="0.25">
      <c r="A710" s="77" t="s">
        <v>1288</v>
      </c>
      <c r="B710" s="88" t="s">
        <v>523</v>
      </c>
      <c r="C710" s="137">
        <f>C703/2.4384</f>
        <v>27.694389763779526</v>
      </c>
      <c r="D710" s="70" t="s">
        <v>3</v>
      </c>
      <c r="E710" s="93">
        <f>(9.28*1.3*0.86)*1.44</f>
        <v>14.940057599999999</v>
      </c>
      <c r="F710" s="93">
        <f>C710*E710</f>
        <v>413.75577826771649</v>
      </c>
      <c r="G710" s="53"/>
    </row>
    <row r="711" spans="1:7" x14ac:dyDescent="0.25">
      <c r="A711" s="77"/>
      <c r="B711" s="53"/>
      <c r="C711" s="55"/>
      <c r="D711" s="70"/>
      <c r="E711" s="93"/>
      <c r="F711" s="93"/>
      <c r="G711" s="53"/>
    </row>
    <row r="712" spans="1:7" s="3" customFormat="1" x14ac:dyDescent="0.25">
      <c r="A712" s="79" t="s">
        <v>1289</v>
      </c>
      <c r="B712" s="3" t="s">
        <v>524</v>
      </c>
      <c r="C712" s="116"/>
      <c r="D712" s="117"/>
      <c r="E712" s="121"/>
      <c r="F712" s="121"/>
      <c r="G712" s="115"/>
    </row>
    <row r="713" spans="1:7" x14ac:dyDescent="0.25">
      <c r="A713" s="77"/>
      <c r="B713" s="88" t="s">
        <v>525</v>
      </c>
      <c r="C713" s="55"/>
      <c r="D713" s="70"/>
      <c r="E713" s="93"/>
      <c r="F713" s="93"/>
      <c r="G713" s="53"/>
    </row>
    <row r="714" spans="1:7" x14ac:dyDescent="0.25">
      <c r="A714" s="77" t="s">
        <v>1290</v>
      </c>
      <c r="B714" s="88" t="s">
        <v>520</v>
      </c>
      <c r="C714" s="137">
        <f>C703</f>
        <v>67.53</v>
      </c>
      <c r="D714" s="70" t="s">
        <v>3</v>
      </c>
      <c r="E714" s="93">
        <f>(9.38*1.3*0.86)*1.44</f>
        <v>15.101049600000001</v>
      </c>
      <c r="F714" s="93">
        <f>C714*E714</f>
        <v>1019.7738794880001</v>
      </c>
      <c r="G714" s="53"/>
    </row>
    <row r="715" spans="1:7" x14ac:dyDescent="0.25">
      <c r="A715" s="77"/>
      <c r="B715" s="53"/>
      <c r="C715" s="55"/>
      <c r="D715" s="70"/>
      <c r="E715" s="93"/>
      <c r="F715" s="93"/>
      <c r="G715" s="53"/>
    </row>
    <row r="716" spans="1:7" x14ac:dyDescent="0.25">
      <c r="A716" s="77"/>
      <c r="B716" s="88" t="s">
        <v>526</v>
      </c>
      <c r="C716" s="55"/>
      <c r="D716" s="70"/>
      <c r="E716" s="93"/>
      <c r="F716" s="93"/>
      <c r="G716" s="53"/>
    </row>
    <row r="717" spans="1:7" x14ac:dyDescent="0.25">
      <c r="A717" s="77" t="s">
        <v>1291</v>
      </c>
      <c r="B717" s="88" t="s">
        <v>527</v>
      </c>
      <c r="C717" s="55">
        <v>16</v>
      </c>
      <c r="D717" s="70" t="s">
        <v>3</v>
      </c>
      <c r="E717" s="93">
        <f>(7.77*1.3*0.86)*1.44</f>
        <v>12.509078399999998</v>
      </c>
      <c r="F717" s="93">
        <f>C717*E717</f>
        <v>200.14525439999997</v>
      </c>
      <c r="G717" s="53"/>
    </row>
    <row r="718" spans="1:7" x14ac:dyDescent="0.25">
      <c r="A718" s="77"/>
      <c r="B718" s="53"/>
      <c r="C718" s="55"/>
      <c r="D718" s="70"/>
      <c r="E718" s="93"/>
      <c r="F718" s="93"/>
      <c r="G718" s="53"/>
    </row>
    <row r="719" spans="1:7" x14ac:dyDescent="0.25">
      <c r="A719" s="77"/>
      <c r="B719" s="88" t="s">
        <v>528</v>
      </c>
      <c r="C719" s="55"/>
      <c r="D719" s="70"/>
      <c r="E719" s="93"/>
      <c r="F719" s="93"/>
      <c r="G719" s="53"/>
    </row>
    <row r="720" spans="1:7" x14ac:dyDescent="0.25">
      <c r="A720" s="77" t="s">
        <v>1292</v>
      </c>
      <c r="B720" s="88" t="s">
        <v>520</v>
      </c>
      <c r="C720" s="55">
        <v>16</v>
      </c>
      <c r="D720" s="70" t="s">
        <v>3</v>
      </c>
      <c r="E720" s="93">
        <f>(14.24*1.3*0.86)*1.44</f>
        <v>22.9252608</v>
      </c>
      <c r="F720" s="93">
        <f>C720*E720</f>
        <v>366.8041728</v>
      </c>
      <c r="G720" s="53"/>
    </row>
    <row r="721" spans="1:7" x14ac:dyDescent="0.25">
      <c r="A721" s="77"/>
      <c r="B721" s="53"/>
      <c r="C721" s="55"/>
      <c r="D721" s="70"/>
      <c r="E721" s="93"/>
      <c r="F721" s="93"/>
      <c r="G721" s="53"/>
    </row>
    <row r="722" spans="1:7" s="3" customFormat="1" x14ac:dyDescent="0.25">
      <c r="A722" s="79" t="s">
        <v>1293</v>
      </c>
      <c r="B722" s="3" t="s">
        <v>529</v>
      </c>
      <c r="C722" s="116"/>
      <c r="D722" s="117"/>
      <c r="E722" s="121"/>
      <c r="F722" s="121"/>
      <c r="G722" s="115"/>
    </row>
    <row r="723" spans="1:7" x14ac:dyDescent="0.25">
      <c r="A723" s="77"/>
      <c r="B723" s="88" t="s">
        <v>530</v>
      </c>
      <c r="C723" s="55"/>
      <c r="D723" s="70"/>
      <c r="E723" s="93"/>
      <c r="F723" s="93"/>
      <c r="G723" s="53"/>
    </row>
    <row r="724" spans="1:7" x14ac:dyDescent="0.25">
      <c r="A724" s="77" t="s">
        <v>1294</v>
      </c>
      <c r="B724" s="88" t="s">
        <v>520</v>
      </c>
      <c r="C724" s="55">
        <v>3</v>
      </c>
      <c r="D724" s="70" t="s">
        <v>3</v>
      </c>
      <c r="E724" s="93">
        <f>(6.66*1.3*0.86)*1.44</f>
        <v>10.722067200000001</v>
      </c>
      <c r="F724" s="93">
        <f>C724*E724</f>
        <v>32.166201600000008</v>
      </c>
      <c r="G724" s="53"/>
    </row>
    <row r="725" spans="1:7" x14ac:dyDescent="0.25">
      <c r="A725" s="77"/>
      <c r="B725" s="53"/>
      <c r="C725" s="55"/>
      <c r="D725" s="70"/>
      <c r="E725" s="93"/>
      <c r="F725" s="93"/>
      <c r="G725" s="53"/>
    </row>
    <row r="726" spans="1:7" x14ac:dyDescent="0.25">
      <c r="A726" s="77"/>
      <c r="B726" s="53"/>
      <c r="C726" s="55"/>
      <c r="D726" s="70"/>
      <c r="E726" s="93"/>
      <c r="F726" s="93"/>
      <c r="G726" s="53"/>
    </row>
    <row r="727" spans="1:7" s="3" customFormat="1" x14ac:dyDescent="0.25">
      <c r="A727" s="85"/>
      <c r="B727" s="11" t="s">
        <v>7</v>
      </c>
      <c r="C727" s="12"/>
      <c r="D727" s="38"/>
      <c r="E727" s="12"/>
      <c r="F727" s="33">
        <f>SUM(F701:F726)</f>
        <v>5438.7770183637167</v>
      </c>
      <c r="G727" s="37"/>
    </row>
    <row r="728" spans="1:7" x14ac:dyDescent="0.25">
      <c r="E728" s="98"/>
      <c r="F728" s="98"/>
    </row>
    <row r="729" spans="1:7" s="65" customFormat="1" ht="13.8" x14ac:dyDescent="0.25">
      <c r="A729" s="78">
        <v>42.2</v>
      </c>
      <c r="B729" s="66" t="s">
        <v>553</v>
      </c>
      <c r="C729" s="68" t="s">
        <v>0</v>
      </c>
      <c r="D729" s="68" t="s">
        <v>5</v>
      </c>
      <c r="E729" s="68" t="s">
        <v>10</v>
      </c>
      <c r="F729" s="69" t="s">
        <v>6</v>
      </c>
      <c r="G729" s="66"/>
    </row>
    <row r="730" spans="1:7" s="3" customFormat="1" ht="26.4" x14ac:dyDescent="0.25">
      <c r="A730" s="79" t="s">
        <v>1295</v>
      </c>
      <c r="B730" s="87" t="s">
        <v>518</v>
      </c>
      <c r="C730" s="116"/>
      <c r="D730" s="117"/>
      <c r="E730" s="121"/>
      <c r="F730" s="121"/>
      <c r="G730" s="115"/>
    </row>
    <row r="731" spans="1:7" x14ac:dyDescent="0.25">
      <c r="A731" s="77"/>
      <c r="B731" s="88" t="s">
        <v>519</v>
      </c>
      <c r="C731" s="55"/>
      <c r="D731" s="70"/>
      <c r="E731" s="93"/>
      <c r="F731" s="93"/>
      <c r="G731" s="53"/>
    </row>
    <row r="732" spans="1:7" x14ac:dyDescent="0.25">
      <c r="A732" s="77" t="s">
        <v>1296</v>
      </c>
      <c r="B732" s="88" t="s">
        <v>520</v>
      </c>
      <c r="C732" s="55">
        <v>53.48</v>
      </c>
      <c r="D732" s="70" t="s">
        <v>1</v>
      </c>
      <c r="E732" s="93">
        <f>(20.75*1.3*0.86)*1.44</f>
        <v>33.405839999999998</v>
      </c>
      <c r="F732" s="93">
        <f>C732*E732</f>
        <v>1786.5443231999998</v>
      </c>
      <c r="G732" s="53"/>
    </row>
    <row r="733" spans="1:7" x14ac:dyDescent="0.25">
      <c r="A733" s="77"/>
      <c r="B733" s="53"/>
      <c r="C733" s="55"/>
      <c r="D733" s="70"/>
      <c r="E733" s="93"/>
      <c r="F733" s="93"/>
      <c r="G733" s="53"/>
    </row>
    <row r="734" spans="1:7" s="3" customFormat="1" x14ac:dyDescent="0.25">
      <c r="A734" s="79" t="s">
        <v>1297</v>
      </c>
      <c r="B734" s="3" t="s">
        <v>485</v>
      </c>
      <c r="C734" s="116"/>
      <c r="D734" s="117"/>
      <c r="E734" s="121"/>
      <c r="F734" s="121"/>
      <c r="G734" s="115"/>
    </row>
    <row r="735" spans="1:7" x14ac:dyDescent="0.25">
      <c r="A735" s="77"/>
      <c r="B735" s="88" t="s">
        <v>521</v>
      </c>
      <c r="C735" s="55"/>
      <c r="D735" s="70"/>
      <c r="E735" s="93"/>
      <c r="F735" s="93"/>
      <c r="G735" s="53"/>
    </row>
    <row r="736" spans="1:7" x14ac:dyDescent="0.25">
      <c r="A736" s="77" t="s">
        <v>1298</v>
      </c>
      <c r="B736" s="88" t="s">
        <v>520</v>
      </c>
      <c r="C736" s="137">
        <f>C732*2</f>
        <v>106.96</v>
      </c>
      <c r="D736" s="70" t="s">
        <v>3</v>
      </c>
      <c r="E736" s="93">
        <f>(5.29*1.3*0.86)*1.44</f>
        <v>8.5164767999999995</v>
      </c>
      <c r="F736" s="93">
        <f>C736*E736</f>
        <v>910.9223585279999</v>
      </c>
      <c r="G736" s="53" t="s">
        <v>1274</v>
      </c>
    </row>
    <row r="737" spans="1:7" x14ac:dyDescent="0.25">
      <c r="A737" s="77"/>
      <c r="B737" s="53"/>
      <c r="C737" s="55"/>
      <c r="D737" s="70"/>
      <c r="E737" s="93"/>
      <c r="F737" s="93"/>
      <c r="G737" s="53"/>
    </row>
    <row r="738" spans="1:7" x14ac:dyDescent="0.25">
      <c r="A738" s="77"/>
      <c r="B738" s="88" t="s">
        <v>522</v>
      </c>
      <c r="C738" s="55"/>
      <c r="D738" s="70"/>
      <c r="E738" s="93"/>
      <c r="F738" s="93"/>
      <c r="G738" s="53"/>
    </row>
    <row r="739" spans="1:7" x14ac:dyDescent="0.25">
      <c r="A739" s="77" t="s">
        <v>1299</v>
      </c>
      <c r="B739" s="88" t="s">
        <v>523</v>
      </c>
      <c r="C739" s="137">
        <f>C732/2.4384</f>
        <v>21.932414698162727</v>
      </c>
      <c r="D739" s="70" t="s">
        <v>3</v>
      </c>
      <c r="E739" s="93">
        <f>(9.28*1.3*0.86)*1.44</f>
        <v>14.940057599999999</v>
      </c>
      <c r="F739" s="93">
        <f>C739*E739</f>
        <v>327.67153889763773</v>
      </c>
      <c r="G739" s="53"/>
    </row>
    <row r="740" spans="1:7" x14ac:dyDescent="0.25">
      <c r="A740" s="77"/>
      <c r="B740" s="53"/>
      <c r="C740" s="55"/>
      <c r="D740" s="70"/>
      <c r="E740" s="93"/>
      <c r="F740" s="93"/>
      <c r="G740" s="53"/>
    </row>
    <row r="741" spans="1:7" s="3" customFormat="1" x14ac:dyDescent="0.25">
      <c r="A741" s="79" t="s">
        <v>1300</v>
      </c>
      <c r="B741" s="3" t="s">
        <v>524</v>
      </c>
      <c r="C741" s="116"/>
      <c r="D741" s="117"/>
      <c r="E741" s="121"/>
      <c r="F741" s="121"/>
      <c r="G741" s="115"/>
    </row>
    <row r="742" spans="1:7" x14ac:dyDescent="0.25">
      <c r="A742" s="77"/>
      <c r="B742" s="88" t="s">
        <v>525</v>
      </c>
      <c r="C742" s="55"/>
      <c r="D742" s="70"/>
      <c r="E742" s="93"/>
      <c r="F742" s="93"/>
      <c r="G742" s="53"/>
    </row>
    <row r="743" spans="1:7" x14ac:dyDescent="0.25">
      <c r="A743" s="77" t="s">
        <v>1301</v>
      </c>
      <c r="B743" s="88" t="s">
        <v>520</v>
      </c>
      <c r="C743" s="137">
        <f>C732</f>
        <v>53.48</v>
      </c>
      <c r="D743" s="70" t="s">
        <v>3</v>
      </c>
      <c r="E743" s="93">
        <f>(9.38*1.3*0.86)*1.44</f>
        <v>15.101049600000001</v>
      </c>
      <c r="F743" s="93">
        <f>C743*E743</f>
        <v>807.60413260799999</v>
      </c>
      <c r="G743" s="53"/>
    </row>
    <row r="744" spans="1:7" x14ac:dyDescent="0.25">
      <c r="A744" s="77"/>
      <c r="B744" s="53"/>
      <c r="C744" s="55"/>
      <c r="D744" s="70"/>
      <c r="E744" s="93"/>
      <c r="F744" s="93"/>
      <c r="G744" s="53"/>
    </row>
    <row r="745" spans="1:7" x14ac:dyDescent="0.25">
      <c r="A745" s="77"/>
      <c r="B745" s="88" t="s">
        <v>526</v>
      </c>
      <c r="C745" s="55"/>
      <c r="D745" s="70"/>
      <c r="E745" s="93"/>
      <c r="F745" s="93"/>
      <c r="G745" s="53"/>
    </row>
    <row r="746" spans="1:7" x14ac:dyDescent="0.25">
      <c r="A746" s="77" t="s">
        <v>1302</v>
      </c>
      <c r="B746" s="88" t="s">
        <v>527</v>
      </c>
      <c r="C746" s="55">
        <v>12</v>
      </c>
      <c r="D746" s="70" t="s">
        <v>3</v>
      </c>
      <c r="E746" s="93">
        <f>(7.77*1.3*0.86)*1.44</f>
        <v>12.509078399999998</v>
      </c>
      <c r="F746" s="93">
        <f>C746*E746</f>
        <v>150.10894079999997</v>
      </c>
      <c r="G746" s="53"/>
    </row>
    <row r="747" spans="1:7" x14ac:dyDescent="0.25">
      <c r="A747" s="77"/>
      <c r="B747" s="53"/>
      <c r="C747" s="55"/>
      <c r="D747" s="70"/>
      <c r="E747" s="93"/>
      <c r="F747" s="93"/>
      <c r="G747" s="53"/>
    </row>
    <row r="748" spans="1:7" x14ac:dyDescent="0.25">
      <c r="A748" s="77"/>
      <c r="B748" s="88" t="s">
        <v>528</v>
      </c>
      <c r="C748" s="55"/>
      <c r="D748" s="70"/>
      <c r="E748" s="93"/>
      <c r="F748" s="93"/>
      <c r="G748" s="53"/>
    </row>
    <row r="749" spans="1:7" x14ac:dyDescent="0.25">
      <c r="A749" s="77" t="s">
        <v>1303</v>
      </c>
      <c r="B749" s="88" t="s">
        <v>520</v>
      </c>
      <c r="C749" s="55">
        <v>12</v>
      </c>
      <c r="D749" s="70" t="s">
        <v>3</v>
      </c>
      <c r="E749" s="93">
        <f>(14.24*1.3*0.86)*1.44</f>
        <v>22.9252608</v>
      </c>
      <c r="F749" s="93">
        <f>C749*E749</f>
        <v>275.10312959999999</v>
      </c>
      <c r="G749" s="53"/>
    </row>
    <row r="750" spans="1:7" x14ac:dyDescent="0.25">
      <c r="A750" s="77"/>
      <c r="B750" s="53"/>
      <c r="C750" s="55"/>
      <c r="D750" s="70"/>
      <c r="E750" s="93"/>
      <c r="F750" s="93"/>
      <c r="G750" s="53"/>
    </row>
    <row r="751" spans="1:7" s="3" customFormat="1" x14ac:dyDescent="0.25">
      <c r="A751" s="79" t="s">
        <v>1304</v>
      </c>
      <c r="B751" s="3" t="s">
        <v>529</v>
      </c>
      <c r="C751" s="116"/>
      <c r="D751" s="117"/>
      <c r="E751" s="121"/>
      <c r="F751" s="121"/>
      <c r="G751" s="115"/>
    </row>
    <row r="752" spans="1:7" x14ac:dyDescent="0.25">
      <c r="A752" s="77"/>
      <c r="B752" s="88" t="s">
        <v>530</v>
      </c>
      <c r="C752" s="55"/>
      <c r="D752" s="70"/>
      <c r="E752" s="93"/>
      <c r="F752" s="93"/>
      <c r="G752" s="53"/>
    </row>
    <row r="753" spans="1:7" x14ac:dyDescent="0.25">
      <c r="A753" s="77" t="s">
        <v>1305</v>
      </c>
      <c r="B753" s="88" t="s">
        <v>520</v>
      </c>
      <c r="C753" s="55">
        <v>3</v>
      </c>
      <c r="D753" s="70" t="s">
        <v>3</v>
      </c>
      <c r="E753" s="93">
        <f>(6.66*1.3*0.86)*1.44</f>
        <v>10.722067200000001</v>
      </c>
      <c r="F753" s="93">
        <f>C753*E753</f>
        <v>32.166201600000008</v>
      </c>
      <c r="G753" s="53"/>
    </row>
    <row r="754" spans="1:7" x14ac:dyDescent="0.25">
      <c r="A754" s="77"/>
      <c r="B754" s="53"/>
      <c r="C754" s="55"/>
      <c r="D754" s="70"/>
      <c r="E754" s="93"/>
      <c r="F754" s="93"/>
      <c r="G754" s="53"/>
    </row>
    <row r="755" spans="1:7" s="3" customFormat="1" x14ac:dyDescent="0.25">
      <c r="A755" s="79" t="s">
        <v>1306</v>
      </c>
      <c r="B755" s="3" t="s">
        <v>531</v>
      </c>
      <c r="C755" s="116"/>
      <c r="D755" s="117"/>
      <c r="E755" s="121"/>
      <c r="F755" s="121"/>
      <c r="G755" s="115"/>
    </row>
    <row r="756" spans="1:7" ht="52.8" x14ac:dyDescent="0.25">
      <c r="A756" s="77"/>
      <c r="B756" s="84" t="s">
        <v>532</v>
      </c>
      <c r="C756" s="55"/>
      <c r="D756" s="70"/>
      <c r="E756" s="93"/>
      <c r="F756" s="93"/>
      <c r="G756" s="53"/>
    </row>
    <row r="757" spans="1:7" x14ac:dyDescent="0.25">
      <c r="A757" s="77" t="s">
        <v>1307</v>
      </c>
      <c r="B757" s="88" t="s">
        <v>533</v>
      </c>
      <c r="C757" s="55">
        <v>1</v>
      </c>
      <c r="D757" s="70" t="s">
        <v>3</v>
      </c>
      <c r="E757" s="93">
        <f>(1394.39*1.3*0.86)*1.44</f>
        <v>2244.8563488</v>
      </c>
      <c r="F757" s="93">
        <f>C757*E757</f>
        <v>2244.8563488</v>
      </c>
      <c r="G757" s="53"/>
    </row>
    <row r="758" spans="1:7" x14ac:dyDescent="0.25">
      <c r="A758" s="77"/>
      <c r="B758" s="53"/>
      <c r="C758" s="55"/>
      <c r="D758" s="70"/>
      <c r="E758" s="93"/>
      <c r="F758" s="93"/>
      <c r="G758" s="53"/>
    </row>
    <row r="759" spans="1:7" x14ac:dyDescent="0.25">
      <c r="A759" s="77"/>
      <c r="B759" s="88" t="s">
        <v>534</v>
      </c>
      <c r="C759" s="55"/>
      <c r="D759" s="70"/>
      <c r="E759" s="93"/>
      <c r="F759" s="93"/>
      <c r="G759" s="53"/>
    </row>
    <row r="760" spans="1:7" x14ac:dyDescent="0.25">
      <c r="A760" s="77" t="s">
        <v>1308</v>
      </c>
      <c r="B760" s="53" t="s">
        <v>832</v>
      </c>
      <c r="C760" s="55">
        <v>1</v>
      </c>
      <c r="D760" s="70" t="s">
        <v>3</v>
      </c>
      <c r="E760" s="93">
        <f>(283.13*1.3*0.86)*1.44</f>
        <v>455.81664959999995</v>
      </c>
      <c r="F760" s="93">
        <f>C760*E760</f>
        <v>455.81664959999995</v>
      </c>
      <c r="G760" s="53"/>
    </row>
    <row r="761" spans="1:7" x14ac:dyDescent="0.25">
      <c r="A761" s="77" t="s">
        <v>1309</v>
      </c>
      <c r="B761" s="88" t="s">
        <v>833</v>
      </c>
      <c r="C761" s="55">
        <v>12</v>
      </c>
      <c r="D761" s="70" t="s">
        <v>3</v>
      </c>
      <c r="E761" s="93">
        <f>(148.5*1.3*0.86)*1.44</f>
        <v>239.07311999999999</v>
      </c>
      <c r="F761" s="93">
        <f>C761*E761</f>
        <v>2868.8774399999998</v>
      </c>
      <c r="G761" s="53"/>
    </row>
    <row r="762" spans="1:7" x14ac:dyDescent="0.25">
      <c r="A762" s="77"/>
      <c r="B762" s="53"/>
      <c r="C762" s="55"/>
      <c r="D762" s="70"/>
      <c r="E762" s="93"/>
      <c r="F762" s="93"/>
      <c r="G762" s="53"/>
    </row>
    <row r="763" spans="1:7" x14ac:dyDescent="0.25">
      <c r="A763" s="77"/>
      <c r="B763" s="53"/>
      <c r="C763" s="55"/>
      <c r="D763" s="70"/>
      <c r="E763" s="93"/>
      <c r="F763" s="93"/>
      <c r="G763" s="53"/>
    </row>
    <row r="764" spans="1:7" s="3" customFormat="1" x14ac:dyDescent="0.25">
      <c r="A764" s="85"/>
      <c r="B764" s="11" t="s">
        <v>7</v>
      </c>
      <c r="C764" s="12"/>
      <c r="D764" s="38"/>
      <c r="E764" s="12"/>
      <c r="F764" s="33">
        <f>SUM(F730:F763)</f>
        <v>9859.6710636336375</v>
      </c>
      <c r="G764" s="37"/>
    </row>
    <row r="765" spans="1:7" x14ac:dyDescent="0.25">
      <c r="E765" s="98"/>
      <c r="F765" s="98"/>
    </row>
    <row r="766" spans="1:7" s="65" customFormat="1" ht="13.8" x14ac:dyDescent="0.25">
      <c r="A766" s="78">
        <v>42.3</v>
      </c>
      <c r="B766" s="66" t="s">
        <v>535</v>
      </c>
      <c r="C766" s="68" t="s">
        <v>0</v>
      </c>
      <c r="D766" s="68" t="s">
        <v>5</v>
      </c>
      <c r="E766" s="68" t="s">
        <v>10</v>
      </c>
      <c r="F766" s="69" t="s">
        <v>6</v>
      </c>
      <c r="G766" s="66"/>
    </row>
    <row r="767" spans="1:7" s="3" customFormat="1" ht="39.6" x14ac:dyDescent="0.25">
      <c r="A767" s="79" t="s">
        <v>1310</v>
      </c>
      <c r="B767" s="87" t="s">
        <v>536</v>
      </c>
      <c r="C767" s="116"/>
      <c r="D767" s="117"/>
      <c r="E767" s="121"/>
      <c r="F767" s="121"/>
      <c r="G767" s="115"/>
    </row>
    <row r="768" spans="1:7" x14ac:dyDescent="0.25">
      <c r="A768" s="77"/>
      <c r="B768" s="88" t="s">
        <v>537</v>
      </c>
      <c r="C768" s="55"/>
      <c r="D768" s="70"/>
      <c r="E768" s="93"/>
      <c r="F768" s="93"/>
      <c r="G768" s="53"/>
    </row>
    <row r="769" spans="1:7" x14ac:dyDescent="0.25">
      <c r="A769" s="77" t="s">
        <v>1311</v>
      </c>
      <c r="B769" s="88" t="s">
        <v>538</v>
      </c>
      <c r="C769" s="55">
        <f>679.97-160</f>
        <v>519.97</v>
      </c>
      <c r="D769" s="70" t="s">
        <v>1</v>
      </c>
      <c r="E769" s="93">
        <f>(24.31*1.3*0.86)*1.44</f>
        <v>39.137155199999995</v>
      </c>
      <c r="F769" s="93">
        <f>C769*E769</f>
        <v>20350.146589344</v>
      </c>
      <c r="G769" s="53"/>
    </row>
    <row r="770" spans="1:7" x14ac:dyDescent="0.25">
      <c r="A770" s="77"/>
      <c r="B770" s="53"/>
      <c r="C770" s="55"/>
      <c r="D770" s="70"/>
      <c r="E770" s="93"/>
      <c r="F770" s="93"/>
      <c r="G770" s="53"/>
    </row>
    <row r="771" spans="1:7" s="3" customFormat="1" x14ac:dyDescent="0.25">
      <c r="A771" s="79" t="s">
        <v>1312</v>
      </c>
      <c r="B771" s="3" t="s">
        <v>485</v>
      </c>
      <c r="C771" s="116"/>
      <c r="D771" s="117"/>
      <c r="E771" s="121"/>
      <c r="F771" s="121"/>
      <c r="G771" s="115"/>
    </row>
    <row r="772" spans="1:7" x14ac:dyDescent="0.25">
      <c r="A772" s="77"/>
      <c r="B772" s="88" t="s">
        <v>539</v>
      </c>
      <c r="C772" s="55"/>
      <c r="D772" s="70"/>
      <c r="E772" s="93"/>
      <c r="F772" s="93"/>
      <c r="G772" s="53"/>
    </row>
    <row r="773" spans="1:7" x14ac:dyDescent="0.25">
      <c r="A773" s="77"/>
      <c r="B773" s="88" t="s">
        <v>540</v>
      </c>
      <c r="C773" s="55"/>
      <c r="D773" s="70"/>
      <c r="E773" s="93"/>
      <c r="F773" s="93"/>
      <c r="G773" s="53"/>
    </row>
    <row r="774" spans="1:7" x14ac:dyDescent="0.25">
      <c r="A774" s="77" t="s">
        <v>1313</v>
      </c>
      <c r="B774" s="88" t="s">
        <v>541</v>
      </c>
      <c r="C774" s="137">
        <f>C769/2.4</f>
        <v>216.6541666666667</v>
      </c>
      <c r="D774" s="70" t="s">
        <v>3</v>
      </c>
      <c r="E774" s="93">
        <f>(5.53*1.3*0.86)*1.44</f>
        <v>8.9028576000000008</v>
      </c>
      <c r="F774" s="93">
        <f>C774*E774</f>
        <v>1928.8411942800005</v>
      </c>
      <c r="G774" s="53" t="s">
        <v>1275</v>
      </c>
    </row>
    <row r="775" spans="1:7" x14ac:dyDescent="0.25">
      <c r="A775" s="77"/>
      <c r="B775" s="88"/>
      <c r="C775" s="137"/>
      <c r="D775" s="70"/>
      <c r="E775" s="93"/>
      <c r="F775" s="93"/>
      <c r="G775" s="53"/>
    </row>
    <row r="776" spans="1:7" x14ac:dyDescent="0.25">
      <c r="A776" s="77"/>
      <c r="B776" s="88" t="s">
        <v>549</v>
      </c>
      <c r="C776" s="137"/>
      <c r="D776" s="70"/>
      <c r="E776" s="93"/>
      <c r="F776" s="93"/>
      <c r="G776" s="53"/>
    </row>
    <row r="777" spans="1:7" x14ac:dyDescent="0.25">
      <c r="A777" s="77" t="s">
        <v>1314</v>
      </c>
      <c r="B777" s="88" t="s">
        <v>541</v>
      </c>
      <c r="C777" s="137">
        <v>43</v>
      </c>
      <c r="D777" s="70" t="s">
        <v>3</v>
      </c>
      <c r="E777" s="93">
        <f>(16.9*1.3*0.86)*1.44</f>
        <v>27.207647999999995</v>
      </c>
      <c r="F777" s="93">
        <f>C777*E777</f>
        <v>1169.9288639999997</v>
      </c>
      <c r="G777" s="53"/>
    </row>
    <row r="778" spans="1:7" x14ac:dyDescent="0.25">
      <c r="A778" s="77"/>
      <c r="B778" s="88"/>
      <c r="C778" s="137"/>
      <c r="D778" s="70"/>
      <c r="E778" s="93"/>
      <c r="F778" s="93"/>
      <c r="G778" s="53"/>
    </row>
    <row r="779" spans="1:7" x14ac:dyDescent="0.25">
      <c r="A779" s="77"/>
      <c r="B779" s="88" t="s">
        <v>550</v>
      </c>
      <c r="C779" s="137"/>
      <c r="D779" s="70"/>
      <c r="E779" s="93"/>
      <c r="F779" s="93"/>
      <c r="G779" s="53"/>
    </row>
    <row r="780" spans="1:7" x14ac:dyDescent="0.25">
      <c r="A780" s="77" t="s">
        <v>1315</v>
      </c>
      <c r="B780" s="88" t="s">
        <v>551</v>
      </c>
      <c r="C780" s="137">
        <v>108</v>
      </c>
      <c r="D780" s="70" t="s">
        <v>3</v>
      </c>
      <c r="E780" s="93">
        <f>(20.07*1.3*0.86)*1.44</f>
        <v>32.311094400000002</v>
      </c>
      <c r="F780" s="93">
        <f>C780*E780</f>
        <v>3489.5981952000002</v>
      </c>
      <c r="G780" s="53"/>
    </row>
    <row r="781" spans="1:7" x14ac:dyDescent="0.25">
      <c r="A781" s="77"/>
      <c r="B781" s="88"/>
      <c r="C781" s="137"/>
      <c r="D781" s="70"/>
      <c r="E781" s="93"/>
      <c r="F781" s="93"/>
      <c r="G781" s="53"/>
    </row>
    <row r="782" spans="1:7" s="3" customFormat="1" ht="26.4" x14ac:dyDescent="0.25">
      <c r="A782" s="79" t="s">
        <v>1316</v>
      </c>
      <c r="B782" s="87" t="s">
        <v>542</v>
      </c>
      <c r="C782" s="116"/>
      <c r="D782" s="117"/>
      <c r="E782" s="121"/>
      <c r="F782" s="121"/>
      <c r="G782" s="115"/>
    </row>
    <row r="783" spans="1:7" x14ac:dyDescent="0.25">
      <c r="A783" s="77"/>
      <c r="B783" s="88" t="s">
        <v>537</v>
      </c>
      <c r="C783" s="55"/>
      <c r="D783" s="70"/>
      <c r="E783" s="93"/>
      <c r="F783" s="93"/>
      <c r="G783" s="53"/>
    </row>
    <row r="784" spans="1:7" x14ac:dyDescent="0.25">
      <c r="A784" s="77" t="s">
        <v>1317</v>
      </c>
      <c r="B784" s="88" t="s">
        <v>543</v>
      </c>
      <c r="C784" s="71">
        <v>160</v>
      </c>
      <c r="D784" s="70" t="s">
        <v>1</v>
      </c>
      <c r="E784" s="93">
        <f>(44.12*1.3*0.86)*1.44</f>
        <v>71.029670400000001</v>
      </c>
      <c r="F784" s="93">
        <f>C784*E784</f>
        <v>11364.747264</v>
      </c>
      <c r="G784" s="53"/>
    </row>
    <row r="785" spans="1:7" x14ac:dyDescent="0.25">
      <c r="A785" s="77"/>
      <c r="B785" s="53"/>
      <c r="C785" s="55"/>
      <c r="D785" s="70"/>
      <c r="E785" s="93"/>
      <c r="F785" s="93"/>
      <c r="G785" s="53"/>
    </row>
    <row r="786" spans="1:7" s="3" customFormat="1" x14ac:dyDescent="0.25">
      <c r="A786" s="79" t="s">
        <v>1318</v>
      </c>
      <c r="B786" s="115" t="s">
        <v>485</v>
      </c>
      <c r="C786" s="116"/>
      <c r="D786" s="117"/>
      <c r="E786" s="121"/>
      <c r="F786" s="121"/>
      <c r="G786" s="115"/>
    </row>
    <row r="787" spans="1:7" x14ac:dyDescent="0.25">
      <c r="A787" s="77"/>
      <c r="B787" s="84" t="s">
        <v>544</v>
      </c>
      <c r="C787" s="55"/>
      <c r="D787" s="70"/>
      <c r="E787" s="93"/>
      <c r="F787" s="93"/>
      <c r="G787" s="53"/>
    </row>
    <row r="788" spans="1:7" x14ac:dyDescent="0.25">
      <c r="A788" s="77"/>
      <c r="B788" s="88" t="s">
        <v>540</v>
      </c>
      <c r="C788" s="55"/>
      <c r="D788" s="70"/>
      <c r="E788" s="93"/>
      <c r="F788" s="93"/>
      <c r="G788" s="53"/>
    </row>
    <row r="789" spans="1:7" x14ac:dyDescent="0.25">
      <c r="A789" s="77" t="s">
        <v>1319</v>
      </c>
      <c r="B789" s="88" t="s">
        <v>545</v>
      </c>
      <c r="C789" s="137">
        <f>C784/2.4</f>
        <v>66.666666666666671</v>
      </c>
      <c r="D789" s="70" t="s">
        <v>3</v>
      </c>
      <c r="E789" s="93">
        <f>(13.88*1.3*0.86)*1.44</f>
        <v>22.3456896</v>
      </c>
      <c r="F789" s="93">
        <f>C789*E789</f>
        <v>1489.7126400000002</v>
      </c>
      <c r="G789" s="53" t="s">
        <v>1275</v>
      </c>
    </row>
    <row r="790" spans="1:7" x14ac:dyDescent="0.25">
      <c r="A790" s="77"/>
      <c r="B790" s="53"/>
      <c r="C790" s="55"/>
      <c r="D790" s="70"/>
      <c r="E790" s="93"/>
      <c r="F790" s="93"/>
      <c r="G790" s="53"/>
    </row>
    <row r="791" spans="1:7" x14ac:dyDescent="0.25">
      <c r="A791" s="77"/>
      <c r="B791" s="88" t="s">
        <v>546</v>
      </c>
      <c r="C791" s="55"/>
      <c r="D791" s="70"/>
      <c r="E791" s="93"/>
      <c r="F791" s="93"/>
      <c r="G791" s="53"/>
    </row>
    <row r="792" spans="1:7" x14ac:dyDescent="0.25">
      <c r="A792" s="77"/>
      <c r="B792" s="88" t="s">
        <v>548</v>
      </c>
      <c r="C792" s="55"/>
      <c r="D792" s="70"/>
      <c r="E792" s="93"/>
      <c r="F792" s="93"/>
      <c r="G792" s="53"/>
    </row>
    <row r="793" spans="1:7" x14ac:dyDescent="0.25">
      <c r="A793" s="77" t="s">
        <v>1320</v>
      </c>
      <c r="B793" s="88" t="s">
        <v>545</v>
      </c>
      <c r="C793" s="55">
        <v>8</v>
      </c>
      <c r="D793" s="70" t="s">
        <v>3</v>
      </c>
      <c r="E793" s="93">
        <f>(102.37*1.3*0.86)*1.44</f>
        <v>164.80751040000001</v>
      </c>
      <c r="F793" s="93">
        <f>C793*E793</f>
        <v>1318.4600832000001</v>
      </c>
      <c r="G793" s="53"/>
    </row>
    <row r="794" spans="1:7" x14ac:dyDescent="0.25">
      <c r="A794" s="77"/>
      <c r="B794" s="53"/>
      <c r="C794" s="55"/>
      <c r="D794" s="70"/>
      <c r="E794" s="93"/>
      <c r="F794" s="93"/>
      <c r="G794" s="53"/>
    </row>
    <row r="795" spans="1:7" s="3" customFormat="1" x14ac:dyDescent="0.25">
      <c r="A795" s="79" t="s">
        <v>1321</v>
      </c>
      <c r="B795" s="115" t="s">
        <v>554</v>
      </c>
      <c r="C795" s="116"/>
      <c r="D795" s="117"/>
      <c r="E795" s="121"/>
      <c r="F795" s="121"/>
      <c r="G795" s="115"/>
    </row>
    <row r="796" spans="1:7" ht="26.4" x14ac:dyDescent="0.25">
      <c r="A796" s="77"/>
      <c r="B796" s="84" t="s">
        <v>555</v>
      </c>
      <c r="C796" s="55"/>
      <c r="D796" s="70"/>
      <c r="E796" s="93"/>
      <c r="F796" s="93"/>
      <c r="G796" s="53"/>
    </row>
    <row r="797" spans="1:7" ht="13.8" x14ac:dyDescent="0.3">
      <c r="A797" s="77" t="s">
        <v>1322</v>
      </c>
      <c r="B797" s="88" t="s">
        <v>834</v>
      </c>
      <c r="C797" s="55">
        <v>151</v>
      </c>
      <c r="D797" s="70" t="s">
        <v>3</v>
      </c>
      <c r="E797" s="93">
        <f>(11.17*1.3*0.86)*1.44</f>
        <v>17.982806400000001</v>
      </c>
      <c r="F797" s="93">
        <f>C797*E797</f>
        <v>2715.4037664000002</v>
      </c>
      <c r="G797" s="53" t="s">
        <v>1276</v>
      </c>
    </row>
    <row r="798" spans="1:7" x14ac:dyDescent="0.25">
      <c r="A798" s="77"/>
      <c r="B798" s="53"/>
      <c r="C798" s="55"/>
      <c r="D798" s="70"/>
      <c r="E798" s="93"/>
      <c r="F798" s="93"/>
      <c r="G798" s="53"/>
    </row>
    <row r="799" spans="1:7" s="3" customFormat="1" x14ac:dyDescent="0.25">
      <c r="A799" s="79" t="s">
        <v>1323</v>
      </c>
      <c r="B799" s="115" t="s">
        <v>556</v>
      </c>
      <c r="C799" s="116"/>
      <c r="D799" s="117"/>
      <c r="E799" s="121"/>
      <c r="F799" s="121"/>
      <c r="G799" s="115"/>
    </row>
    <row r="800" spans="1:7" ht="26.4" x14ac:dyDescent="0.25">
      <c r="A800" s="77"/>
      <c r="B800" s="84" t="s">
        <v>557</v>
      </c>
      <c r="C800" s="55"/>
      <c r="D800" s="70"/>
      <c r="E800" s="93"/>
      <c r="F800" s="93"/>
      <c r="G800" s="53"/>
    </row>
    <row r="801" spans="1:7" x14ac:dyDescent="0.25">
      <c r="A801" s="77" t="s">
        <v>1324</v>
      </c>
      <c r="B801" s="88" t="s">
        <v>558</v>
      </c>
      <c r="C801" s="55">
        <v>1</v>
      </c>
      <c r="D801" s="70" t="s">
        <v>3</v>
      </c>
      <c r="E801" s="93">
        <f>(2810.36*1.3*0.86)*1.44</f>
        <v>4524.4547712000003</v>
      </c>
      <c r="F801" s="93">
        <f>C801*E801</f>
        <v>4524.4547712000003</v>
      </c>
      <c r="G801" s="53"/>
    </row>
    <row r="802" spans="1:7" x14ac:dyDescent="0.25">
      <c r="A802" s="77"/>
      <c r="B802" s="53"/>
      <c r="C802" s="55"/>
      <c r="D802" s="70"/>
      <c r="E802" s="93"/>
      <c r="F802" s="93"/>
      <c r="G802" s="53"/>
    </row>
    <row r="803" spans="1:7" s="3" customFormat="1" x14ac:dyDescent="0.25">
      <c r="A803" s="79" t="s">
        <v>1325</v>
      </c>
      <c r="B803" s="115" t="s">
        <v>559</v>
      </c>
      <c r="C803" s="116"/>
      <c r="D803" s="117"/>
      <c r="E803" s="121"/>
      <c r="F803" s="121"/>
      <c r="G803" s="115"/>
    </row>
    <row r="804" spans="1:7" ht="26.4" x14ac:dyDescent="0.25">
      <c r="A804" s="77"/>
      <c r="B804" s="84" t="s">
        <v>560</v>
      </c>
      <c r="C804" s="55"/>
      <c r="D804" s="70"/>
      <c r="E804" s="93"/>
      <c r="F804" s="93"/>
      <c r="G804" s="53"/>
    </row>
    <row r="805" spans="1:7" x14ac:dyDescent="0.25">
      <c r="A805" s="77" t="s">
        <v>1326</v>
      </c>
      <c r="B805" s="88" t="s">
        <v>835</v>
      </c>
      <c r="C805" s="55">
        <v>1</v>
      </c>
      <c r="D805" s="70" t="s">
        <v>3</v>
      </c>
      <c r="E805" s="93">
        <f>(802.05*1.3*0.86)*1.44</f>
        <v>1291.2363359999999</v>
      </c>
      <c r="F805" s="93">
        <f>C805*E805</f>
        <v>1291.2363359999999</v>
      </c>
      <c r="G805" s="53"/>
    </row>
    <row r="806" spans="1:7" x14ac:dyDescent="0.25">
      <c r="A806" s="77"/>
      <c r="B806" s="53"/>
      <c r="C806" s="55"/>
      <c r="D806" s="70"/>
      <c r="E806" s="93"/>
      <c r="F806" s="93"/>
      <c r="G806" s="53"/>
    </row>
    <row r="807" spans="1:7" s="3" customFormat="1" x14ac:dyDescent="0.25">
      <c r="A807" s="79" t="s">
        <v>1327</v>
      </c>
      <c r="B807" s="115" t="s">
        <v>561</v>
      </c>
      <c r="C807" s="116"/>
      <c r="D807" s="117"/>
      <c r="E807" s="121"/>
      <c r="F807" s="121"/>
      <c r="G807" s="115"/>
    </row>
    <row r="808" spans="1:7" x14ac:dyDescent="0.25">
      <c r="A808" s="77"/>
      <c r="B808" s="88" t="s">
        <v>562</v>
      </c>
      <c r="C808" s="55"/>
      <c r="D808" s="70"/>
      <c r="E808" s="93"/>
      <c r="F808" s="93"/>
      <c r="G808" s="53"/>
    </row>
    <row r="809" spans="1:7" ht="26.4" x14ac:dyDescent="0.25">
      <c r="A809" s="77"/>
      <c r="B809" s="84" t="s">
        <v>563</v>
      </c>
      <c r="C809" s="55"/>
      <c r="D809" s="70"/>
      <c r="E809" s="93"/>
      <c r="F809" s="93"/>
      <c r="G809" s="53"/>
    </row>
    <row r="810" spans="1:7" ht="26.4" x14ac:dyDescent="0.25">
      <c r="A810" s="77" t="s">
        <v>1328</v>
      </c>
      <c r="B810" s="84" t="s">
        <v>836</v>
      </c>
      <c r="C810" s="55">
        <v>4</v>
      </c>
      <c r="D810" s="70" t="s">
        <v>3</v>
      </c>
      <c r="E810" s="93">
        <f>(81.01*1.3*0.86)*1.44</f>
        <v>130.41961920000003</v>
      </c>
      <c r="F810" s="93">
        <f>C810*E810</f>
        <v>521.67847680000011</v>
      </c>
      <c r="G810" s="53" t="s">
        <v>1277</v>
      </c>
    </row>
    <row r="811" spans="1:7" x14ac:dyDescent="0.25">
      <c r="A811" s="77"/>
      <c r="B811" s="53"/>
      <c r="C811" s="55"/>
      <c r="D811" s="70"/>
      <c r="E811" s="93"/>
      <c r="F811" s="93"/>
      <c r="G811" s="53"/>
    </row>
    <row r="812" spans="1:7" x14ac:dyDescent="0.25">
      <c r="A812" s="77"/>
      <c r="B812" s="88" t="s">
        <v>564</v>
      </c>
      <c r="C812" s="55"/>
      <c r="D812" s="70"/>
      <c r="E812" s="93"/>
      <c r="F812" s="93"/>
      <c r="G812" s="53"/>
    </row>
    <row r="813" spans="1:7" x14ac:dyDescent="0.25">
      <c r="A813" s="77" t="s">
        <v>1329</v>
      </c>
      <c r="B813" s="88" t="s">
        <v>565</v>
      </c>
      <c r="C813" s="55">
        <v>2</v>
      </c>
      <c r="D813" s="70" t="s">
        <v>3</v>
      </c>
      <c r="E813" s="93">
        <f>(32.48*1.3*0.86)*1.44</f>
        <v>52.290201599999989</v>
      </c>
      <c r="F813" s="93">
        <f>C813*E813</f>
        <v>104.58040319999998</v>
      </c>
      <c r="G813" s="53" t="s">
        <v>1278</v>
      </c>
    </row>
    <row r="814" spans="1:7" x14ac:dyDescent="0.25">
      <c r="A814" s="77"/>
      <c r="B814" s="53"/>
      <c r="C814" s="55"/>
      <c r="D814" s="70"/>
      <c r="E814" s="93"/>
      <c r="F814" s="93"/>
      <c r="G814" s="53"/>
    </row>
    <row r="815" spans="1:7" x14ac:dyDescent="0.25">
      <c r="A815" s="77"/>
      <c r="B815" s="53"/>
      <c r="C815" s="55"/>
      <c r="D815" s="70"/>
      <c r="E815" s="93"/>
      <c r="F815" s="93"/>
      <c r="G815" s="53"/>
    </row>
    <row r="816" spans="1:7" s="3" customFormat="1" x14ac:dyDescent="0.25">
      <c r="A816" s="85"/>
      <c r="B816" s="11" t="s">
        <v>7</v>
      </c>
      <c r="C816" s="12"/>
      <c r="D816" s="38"/>
      <c r="E816" s="12"/>
      <c r="F816" s="33">
        <f>SUM(F767:F815)</f>
        <v>50268.788583624002</v>
      </c>
      <c r="G816" s="37"/>
    </row>
    <row r="817" spans="1:7" s="3" customFormat="1" ht="13.8" thickBot="1" x14ac:dyDescent="0.3">
      <c r="A817" s="107"/>
      <c r="B817" s="39"/>
      <c r="C817" s="108"/>
      <c r="D817" s="109"/>
      <c r="E817" s="108"/>
      <c r="F817" s="110"/>
      <c r="G817" s="111"/>
    </row>
    <row r="818" spans="1:7" s="3" customFormat="1" ht="13.8" thickBot="1" x14ac:dyDescent="0.3">
      <c r="A818" s="150"/>
      <c r="B818" s="151" t="s">
        <v>759</v>
      </c>
      <c r="C818" s="152"/>
      <c r="D818" s="153"/>
      <c r="E818" s="152"/>
      <c r="F818" s="154">
        <f>F727+F764+F816</f>
        <v>65567.236665621356</v>
      </c>
      <c r="G818" s="155"/>
    </row>
    <row r="819" spans="1:7" x14ac:dyDescent="0.25">
      <c r="E819" s="98"/>
      <c r="F819" s="98"/>
    </row>
    <row r="820" spans="1:7" s="63" customFormat="1" ht="15.6" x14ac:dyDescent="0.3">
      <c r="A820" s="73">
        <v>43</v>
      </c>
      <c r="B820" s="40" t="s">
        <v>794</v>
      </c>
      <c r="C820" s="59"/>
      <c r="D820" s="60"/>
      <c r="E820" s="162"/>
      <c r="F820" s="162"/>
      <c r="G820" s="40"/>
    </row>
    <row r="821" spans="1:7" s="65" customFormat="1" ht="13.8" x14ac:dyDescent="0.25">
      <c r="A821" s="78">
        <v>43.4</v>
      </c>
      <c r="B821" s="66" t="s">
        <v>582</v>
      </c>
      <c r="C821" s="68" t="s">
        <v>0</v>
      </c>
      <c r="D821" s="68" t="s">
        <v>5</v>
      </c>
      <c r="E821" s="68" t="s">
        <v>10</v>
      </c>
      <c r="F821" s="69" t="s">
        <v>6</v>
      </c>
      <c r="G821" s="66"/>
    </row>
    <row r="822" spans="1:7" s="3" customFormat="1" ht="26.4" x14ac:dyDescent="0.25">
      <c r="A822" s="79" t="s">
        <v>1330</v>
      </c>
      <c r="B822" s="87" t="s">
        <v>566</v>
      </c>
      <c r="C822" s="116"/>
      <c r="D822" s="117"/>
      <c r="E822" s="121"/>
      <c r="F822" s="121"/>
      <c r="G822" s="115"/>
    </row>
    <row r="823" spans="1:7" x14ac:dyDescent="0.25">
      <c r="A823" s="77"/>
      <c r="B823" s="88" t="s">
        <v>567</v>
      </c>
      <c r="C823" s="55"/>
      <c r="D823" s="70"/>
      <c r="E823" s="93"/>
      <c r="F823" s="93"/>
      <c r="G823" s="53"/>
    </row>
    <row r="824" spans="1:7" x14ac:dyDescent="0.25">
      <c r="A824" s="77" t="s">
        <v>1331</v>
      </c>
      <c r="B824" s="88" t="s">
        <v>837</v>
      </c>
      <c r="C824" s="55">
        <v>12</v>
      </c>
      <c r="D824" s="70" t="s">
        <v>3</v>
      </c>
      <c r="E824" s="93">
        <f>(6259.5*1.3*0.86)*1.44</f>
        <v>10077.294239999999</v>
      </c>
      <c r="F824" s="93">
        <f>C824*E824</f>
        <v>120927.53087999999</v>
      </c>
      <c r="G824" s="53"/>
    </row>
    <row r="825" spans="1:7" x14ac:dyDescent="0.25">
      <c r="A825" s="77"/>
      <c r="B825" s="53"/>
      <c r="C825" s="55"/>
      <c r="D825" s="70"/>
      <c r="E825" s="93"/>
      <c r="F825" s="93"/>
      <c r="G825" s="53"/>
    </row>
    <row r="826" spans="1:7" s="3" customFormat="1" x14ac:dyDescent="0.25">
      <c r="A826" s="79" t="s">
        <v>1332</v>
      </c>
      <c r="B826" s="3" t="s">
        <v>568</v>
      </c>
      <c r="C826" s="116"/>
      <c r="D826" s="117"/>
      <c r="E826" s="121"/>
      <c r="F826" s="121"/>
      <c r="G826" s="115"/>
    </row>
    <row r="827" spans="1:7" ht="26.4" x14ac:dyDescent="0.25">
      <c r="A827" s="77"/>
      <c r="B827" s="84" t="s">
        <v>569</v>
      </c>
      <c r="C827" s="55"/>
      <c r="D827" s="70"/>
      <c r="E827" s="93"/>
      <c r="F827" s="93"/>
      <c r="G827" s="53"/>
    </row>
    <row r="828" spans="1:7" x14ac:dyDescent="0.25">
      <c r="A828" s="77" t="s">
        <v>1333</v>
      </c>
      <c r="B828" s="88" t="s">
        <v>838</v>
      </c>
      <c r="C828" s="55">
        <v>29</v>
      </c>
      <c r="D828" s="70" t="s">
        <v>3</v>
      </c>
      <c r="E828" s="93">
        <f>(2064.18*1.3*0.86)*1.44</f>
        <v>3323.1646655999994</v>
      </c>
      <c r="F828" s="93">
        <f>C828*E828</f>
        <v>96371.775302399983</v>
      </c>
      <c r="G828" s="53"/>
    </row>
    <row r="829" spans="1:7" x14ac:dyDescent="0.25">
      <c r="A829" s="77" t="s">
        <v>1334</v>
      </c>
      <c r="B829" s="88" t="s">
        <v>839</v>
      </c>
      <c r="C829" s="55">
        <v>8</v>
      </c>
      <c r="D829" s="70" t="s">
        <v>3</v>
      </c>
      <c r="E829" s="93">
        <f>(2468.78*1.3*0.86)*1.44</f>
        <v>3974.5382976000005</v>
      </c>
      <c r="F829" s="93">
        <f>C829*E829</f>
        <v>31796.306380800004</v>
      </c>
      <c r="G829" s="53"/>
    </row>
    <row r="830" spans="1:7" x14ac:dyDescent="0.25">
      <c r="A830" s="77"/>
      <c r="B830" s="53"/>
      <c r="C830" s="55"/>
      <c r="D830" s="70"/>
      <c r="E830" s="93"/>
      <c r="F830" s="93"/>
      <c r="G830" s="53"/>
    </row>
    <row r="831" spans="1:7" s="3" customFormat="1" x14ac:dyDescent="0.25">
      <c r="A831" s="79" t="s">
        <v>1335</v>
      </c>
      <c r="B831" s="115" t="s">
        <v>570</v>
      </c>
      <c r="C831" s="116"/>
      <c r="D831" s="117"/>
      <c r="E831" s="121"/>
      <c r="F831" s="121"/>
      <c r="G831" s="115"/>
    </row>
    <row r="832" spans="1:7" ht="39.6" x14ac:dyDescent="0.25">
      <c r="A832" s="77"/>
      <c r="B832" s="84" t="s">
        <v>571</v>
      </c>
      <c r="C832" s="55"/>
      <c r="D832" s="70"/>
      <c r="E832" s="93"/>
      <c r="F832" s="93"/>
      <c r="G832" s="53"/>
    </row>
    <row r="833" spans="1:7" x14ac:dyDescent="0.25">
      <c r="A833" s="77"/>
      <c r="B833" s="88" t="s">
        <v>572</v>
      </c>
      <c r="C833" s="55"/>
      <c r="D833" s="70"/>
      <c r="E833" s="93"/>
      <c r="F833" s="93"/>
      <c r="G833" s="53"/>
    </row>
    <row r="834" spans="1:7" x14ac:dyDescent="0.25">
      <c r="A834" s="77" t="s">
        <v>1336</v>
      </c>
      <c r="B834" s="88" t="s">
        <v>575</v>
      </c>
      <c r="C834" s="55">
        <f>377.08-100</f>
        <v>277.08</v>
      </c>
      <c r="D834" s="70" t="s">
        <v>1</v>
      </c>
      <c r="E834" s="93">
        <f>(36.03*1.3*0.86)*1.44</f>
        <v>58.005417600000008</v>
      </c>
      <c r="F834" s="93">
        <f>C834*E834</f>
        <v>16072.141108608001</v>
      </c>
      <c r="G834" s="53"/>
    </row>
    <row r="835" spans="1:7" x14ac:dyDescent="0.25">
      <c r="A835" s="77" t="s">
        <v>1337</v>
      </c>
      <c r="B835" s="88" t="s">
        <v>574</v>
      </c>
      <c r="C835" s="55">
        <v>160.49</v>
      </c>
      <c r="D835" s="70" t="s">
        <v>1</v>
      </c>
      <c r="E835" s="93">
        <f>(54.74*1.3*0.86)*1.44</f>
        <v>88.127020800000011</v>
      </c>
      <c r="F835" s="93">
        <f>C835*E835</f>
        <v>14143.505568192002</v>
      </c>
      <c r="G835" s="53"/>
    </row>
    <row r="836" spans="1:7" x14ac:dyDescent="0.25">
      <c r="A836" s="77" t="s">
        <v>1338</v>
      </c>
      <c r="B836" s="88" t="s">
        <v>573</v>
      </c>
      <c r="C836" s="71">
        <f>C824*2</f>
        <v>24</v>
      </c>
      <c r="D836" s="70" t="s">
        <v>1</v>
      </c>
      <c r="E836" s="93">
        <f>(187.84*1.3*0.86)*1.44</f>
        <v>302.40737280000002</v>
      </c>
      <c r="F836" s="93">
        <f>C836*E836</f>
        <v>7257.7769472</v>
      </c>
      <c r="G836" s="53"/>
    </row>
    <row r="837" spans="1:7" x14ac:dyDescent="0.25">
      <c r="A837" s="77"/>
      <c r="B837" s="53"/>
      <c r="C837" s="55"/>
      <c r="D837" s="70"/>
      <c r="E837" s="93"/>
      <c r="F837" s="93"/>
      <c r="G837" s="53"/>
    </row>
    <row r="838" spans="1:7" s="3" customFormat="1" x14ac:dyDescent="0.25">
      <c r="A838" s="79" t="s">
        <v>1339</v>
      </c>
      <c r="B838" s="3" t="s">
        <v>576</v>
      </c>
      <c r="C838" s="116"/>
      <c r="D838" s="117"/>
      <c r="E838" s="121"/>
      <c r="F838" s="121"/>
      <c r="G838" s="115"/>
    </row>
    <row r="839" spans="1:7" x14ac:dyDescent="0.25">
      <c r="A839" s="77"/>
      <c r="B839" s="88" t="s">
        <v>577</v>
      </c>
      <c r="C839" s="55"/>
      <c r="D839" s="70"/>
      <c r="E839" s="93"/>
      <c r="F839" s="93"/>
      <c r="G839" s="53"/>
    </row>
    <row r="840" spans="1:7" x14ac:dyDescent="0.25">
      <c r="A840" s="77" t="s">
        <v>1340</v>
      </c>
      <c r="B840" s="88" t="s">
        <v>574</v>
      </c>
      <c r="C840" s="55">
        <v>8</v>
      </c>
      <c r="D840" s="70" t="s">
        <v>3</v>
      </c>
      <c r="E840" s="93">
        <f>(19.02*1.3*0.86)*1.44</f>
        <v>30.620678399999999</v>
      </c>
      <c r="F840" s="93">
        <f>C840*E840</f>
        <v>244.96542719999999</v>
      </c>
      <c r="G840" s="53"/>
    </row>
    <row r="841" spans="1:7" x14ac:dyDescent="0.25">
      <c r="A841" s="77"/>
      <c r="B841" s="53"/>
      <c r="C841" s="55"/>
      <c r="D841" s="70"/>
      <c r="E841" s="93"/>
      <c r="F841" s="93"/>
      <c r="G841" s="53"/>
    </row>
    <row r="842" spans="1:7" x14ac:dyDescent="0.25">
      <c r="A842" s="77"/>
      <c r="B842" s="88" t="s">
        <v>547</v>
      </c>
      <c r="C842" s="55"/>
      <c r="D842" s="70"/>
      <c r="E842" s="93"/>
      <c r="F842" s="93"/>
      <c r="G842" s="53"/>
    </row>
    <row r="843" spans="1:7" x14ac:dyDescent="0.25">
      <c r="A843" s="77" t="s">
        <v>1341</v>
      </c>
      <c r="B843" s="100" t="s">
        <v>574</v>
      </c>
      <c r="C843" s="88">
        <v>8</v>
      </c>
      <c r="D843" s="70" t="s">
        <v>3</v>
      </c>
      <c r="E843" s="93">
        <f>(47.19*1.3*0.86)*1.44</f>
        <v>75.972124800000003</v>
      </c>
      <c r="F843" s="93">
        <f>C843*E843</f>
        <v>607.77699840000002</v>
      </c>
      <c r="G843" s="53"/>
    </row>
    <row r="844" spans="1:7" x14ac:dyDescent="0.25">
      <c r="A844" s="77" t="s">
        <v>1342</v>
      </c>
      <c r="B844" s="88" t="s">
        <v>573</v>
      </c>
      <c r="C844" s="55">
        <v>12</v>
      </c>
      <c r="D844" s="70" t="s">
        <v>3</v>
      </c>
      <c r="E844" s="93">
        <f>(326.71*1.3*0.86)*1.44</f>
        <v>525.9769632</v>
      </c>
      <c r="F844" s="93">
        <f>C844*E844</f>
        <v>6311.7235584</v>
      </c>
      <c r="G844" s="53"/>
    </row>
    <row r="845" spans="1:7" x14ac:dyDescent="0.25">
      <c r="A845" s="77"/>
      <c r="B845" s="53"/>
      <c r="C845" s="55"/>
      <c r="D845" s="70"/>
      <c r="E845" s="93"/>
      <c r="F845" s="93"/>
      <c r="G845" s="53"/>
    </row>
    <row r="846" spans="1:7" x14ac:dyDescent="0.25">
      <c r="A846" s="77"/>
      <c r="B846" s="88" t="s">
        <v>578</v>
      </c>
      <c r="C846" s="55"/>
      <c r="D846" s="70"/>
      <c r="E846" s="93"/>
      <c r="F846" s="93"/>
      <c r="G846" s="53"/>
    </row>
    <row r="847" spans="1:7" x14ac:dyDescent="0.25">
      <c r="A847" s="77" t="s">
        <v>1343</v>
      </c>
      <c r="B847" s="88" t="s">
        <v>575</v>
      </c>
      <c r="C847" s="55">
        <v>63</v>
      </c>
      <c r="D847" s="70" t="s">
        <v>3</v>
      </c>
      <c r="E847" s="93">
        <f>(16.25*1.3*0.86)*1.44</f>
        <v>26.161200000000001</v>
      </c>
      <c r="F847" s="93">
        <f>C847*E847</f>
        <v>1648.1556</v>
      </c>
      <c r="G847" s="53"/>
    </row>
    <row r="848" spans="1:7" x14ac:dyDescent="0.25">
      <c r="A848" s="77" t="s">
        <v>1344</v>
      </c>
      <c r="B848" s="88" t="s">
        <v>574</v>
      </c>
      <c r="C848" s="55">
        <v>8</v>
      </c>
      <c r="D848" s="70" t="s">
        <v>3</v>
      </c>
      <c r="E848" s="93">
        <f>(38.88*1.3*0.86)*1.44</f>
        <v>62.593689600000005</v>
      </c>
      <c r="F848" s="93">
        <f>C848*E848</f>
        <v>500.74951680000004</v>
      </c>
      <c r="G848" s="53"/>
    </row>
    <row r="849" spans="1:7" x14ac:dyDescent="0.25">
      <c r="A849" s="77" t="s">
        <v>1345</v>
      </c>
      <c r="B849" s="88" t="s">
        <v>573</v>
      </c>
      <c r="C849" s="55">
        <v>12</v>
      </c>
      <c r="D849" s="70" t="s">
        <v>3</v>
      </c>
      <c r="E849" s="93">
        <f>(343.21*1.3*0.86)*1.44</f>
        <v>552.54064319999998</v>
      </c>
      <c r="F849" s="93">
        <f>C849*E849</f>
        <v>6630.4877183999997</v>
      </c>
      <c r="G849" s="53"/>
    </row>
    <row r="850" spans="1:7" x14ac:dyDescent="0.25">
      <c r="A850" s="77"/>
      <c r="B850" s="53"/>
      <c r="C850" s="55"/>
      <c r="D850" s="70"/>
      <c r="E850" s="93"/>
      <c r="F850" s="93"/>
      <c r="G850" s="53"/>
    </row>
    <row r="851" spans="1:7" s="3" customFormat="1" x14ac:dyDescent="0.25">
      <c r="A851" s="79" t="s">
        <v>1346</v>
      </c>
      <c r="B851" s="115" t="s">
        <v>579</v>
      </c>
      <c r="C851" s="116"/>
      <c r="D851" s="117"/>
      <c r="E851" s="121"/>
      <c r="F851" s="121"/>
      <c r="G851" s="115"/>
    </row>
    <row r="852" spans="1:7" ht="26.4" x14ac:dyDescent="0.25">
      <c r="A852" s="77"/>
      <c r="B852" s="84" t="s">
        <v>581</v>
      </c>
      <c r="C852" s="55"/>
      <c r="D852" s="70"/>
      <c r="E852" s="93"/>
      <c r="F852" s="93"/>
      <c r="G852" s="53"/>
    </row>
    <row r="853" spans="1:7" x14ac:dyDescent="0.25">
      <c r="A853" s="77"/>
      <c r="B853" s="88" t="s">
        <v>580</v>
      </c>
      <c r="C853" s="55"/>
      <c r="D853" s="70"/>
      <c r="E853" s="93"/>
      <c r="F853" s="93"/>
      <c r="G853" s="53"/>
    </row>
    <row r="854" spans="1:7" x14ac:dyDescent="0.25">
      <c r="A854" s="77" t="s">
        <v>1347</v>
      </c>
      <c r="B854" s="88" t="s">
        <v>574</v>
      </c>
      <c r="C854" s="55">
        <v>4</v>
      </c>
      <c r="D854" s="70" t="s">
        <v>3</v>
      </c>
      <c r="E854" s="93">
        <f>(118.1*1.3*0.86)*1.44</f>
        <v>190.131552</v>
      </c>
      <c r="F854" s="93">
        <f>C854*E854</f>
        <v>760.526208</v>
      </c>
      <c r="G854" s="53"/>
    </row>
    <row r="855" spans="1:7" x14ac:dyDescent="0.25">
      <c r="A855" s="77"/>
      <c r="B855" s="53"/>
      <c r="C855" s="55"/>
      <c r="D855" s="70"/>
      <c r="E855" s="93"/>
      <c r="F855" s="93"/>
      <c r="G855" s="53"/>
    </row>
    <row r="856" spans="1:7" s="3" customFormat="1" x14ac:dyDescent="0.25">
      <c r="A856" s="79" t="s">
        <v>1348</v>
      </c>
      <c r="B856" s="115" t="s">
        <v>583</v>
      </c>
      <c r="C856" s="116"/>
      <c r="D856" s="117"/>
      <c r="E856" s="121"/>
      <c r="F856" s="121"/>
      <c r="G856" s="115"/>
    </row>
    <row r="857" spans="1:7" ht="39.6" x14ac:dyDescent="0.25">
      <c r="A857" s="77"/>
      <c r="B857" s="84" t="s">
        <v>584</v>
      </c>
      <c r="C857" s="55"/>
      <c r="D857" s="70"/>
      <c r="E857" s="93"/>
      <c r="F857" s="93"/>
      <c r="G857" s="53"/>
    </row>
    <row r="858" spans="1:7" x14ac:dyDescent="0.25">
      <c r="A858" s="77"/>
      <c r="B858" s="88" t="s">
        <v>585</v>
      </c>
      <c r="C858" s="55"/>
      <c r="D858" s="70"/>
      <c r="E858" s="93"/>
      <c r="F858" s="93"/>
      <c r="G858" s="53"/>
    </row>
    <row r="859" spans="1:7" x14ac:dyDescent="0.25">
      <c r="A859" s="77" t="s">
        <v>1349</v>
      </c>
      <c r="B859" s="88" t="s">
        <v>586</v>
      </c>
      <c r="C859" s="55">
        <v>2</v>
      </c>
      <c r="D859" s="70" t="s">
        <v>3</v>
      </c>
      <c r="E859" s="93">
        <f>(7973.71*1.3*0.86)*1.44</f>
        <v>12837.035203199999</v>
      </c>
      <c r="F859" s="93">
        <f>C859*E859</f>
        <v>25674.070406399998</v>
      </c>
      <c r="G859" s="53" t="s">
        <v>1279</v>
      </c>
    </row>
    <row r="860" spans="1:7" x14ac:dyDescent="0.25">
      <c r="A860" s="77"/>
      <c r="B860" s="53"/>
      <c r="C860" s="55"/>
      <c r="D860" s="70"/>
      <c r="E860" s="93"/>
      <c r="F860" s="93"/>
      <c r="G860" s="53"/>
    </row>
    <row r="861" spans="1:7" s="3" customFormat="1" x14ac:dyDescent="0.25">
      <c r="A861" s="79" t="s">
        <v>1350</v>
      </c>
      <c r="B861" s="115" t="s">
        <v>587</v>
      </c>
      <c r="C861" s="116"/>
      <c r="D861" s="117"/>
      <c r="E861" s="121"/>
      <c r="F861" s="121"/>
      <c r="G861" s="115"/>
    </row>
    <row r="862" spans="1:7" ht="26.4" x14ac:dyDescent="0.25">
      <c r="A862" s="77"/>
      <c r="B862" s="84" t="s">
        <v>588</v>
      </c>
      <c r="C862" s="55"/>
      <c r="D862" s="70"/>
      <c r="E862" s="93"/>
      <c r="F862" s="93"/>
      <c r="G862" s="53"/>
    </row>
    <row r="863" spans="1:7" x14ac:dyDescent="0.25">
      <c r="A863" s="77"/>
      <c r="B863" s="88" t="s">
        <v>589</v>
      </c>
      <c r="C863" s="55"/>
      <c r="D863" s="70"/>
      <c r="E863" s="93"/>
      <c r="F863" s="93"/>
      <c r="G863" s="53"/>
    </row>
    <row r="864" spans="1:7" x14ac:dyDescent="0.25">
      <c r="A864" s="77" t="s">
        <v>1351</v>
      </c>
      <c r="B864" s="88" t="s">
        <v>575</v>
      </c>
      <c r="C864" s="137">
        <f>C834/20</f>
        <v>13.853999999999999</v>
      </c>
      <c r="D864" s="70" t="s">
        <v>3</v>
      </c>
      <c r="E864" s="93">
        <f>(144.44*1.3*0.86)*1.44</f>
        <v>232.53684479999995</v>
      </c>
      <c r="F864" s="93">
        <f>C864*E864</f>
        <v>3221.5654478591991</v>
      </c>
      <c r="G864" s="53"/>
    </row>
    <row r="865" spans="1:7" x14ac:dyDescent="0.25">
      <c r="A865" s="77" t="s">
        <v>1352</v>
      </c>
      <c r="B865" s="88" t="s">
        <v>574</v>
      </c>
      <c r="C865" s="137">
        <f>C835/20</f>
        <v>8.0244999999999997</v>
      </c>
      <c r="D865" s="70" t="s">
        <v>3</v>
      </c>
      <c r="E865" s="93">
        <f>(184.57*1.3*0.86)*1.44</f>
        <v>297.14293439999994</v>
      </c>
      <c r="F865" s="93">
        <f>C865*E865</f>
        <v>2384.4234770927997</v>
      </c>
      <c r="G865" s="53"/>
    </row>
    <row r="866" spans="1:7" x14ac:dyDescent="0.25">
      <c r="A866" s="77"/>
      <c r="B866" s="53"/>
      <c r="C866" s="55"/>
      <c r="D866" s="70"/>
      <c r="E866" s="93"/>
      <c r="F866" s="93"/>
      <c r="G866" s="53"/>
    </row>
    <row r="867" spans="1:7" x14ac:dyDescent="0.25">
      <c r="A867" s="77"/>
      <c r="B867" s="53"/>
      <c r="C867" s="55"/>
      <c r="D867" s="70"/>
      <c r="E867" s="93"/>
      <c r="F867" s="93"/>
      <c r="G867" s="53"/>
    </row>
    <row r="868" spans="1:7" s="3" customFormat="1" x14ac:dyDescent="0.25">
      <c r="A868" s="85"/>
      <c r="B868" s="11" t="s">
        <v>7</v>
      </c>
      <c r="C868" s="12"/>
      <c r="D868" s="38"/>
      <c r="E868" s="12"/>
      <c r="F868" s="33">
        <f>SUM(F822:F867)</f>
        <v>334553.48054575204</v>
      </c>
      <c r="G868" s="37"/>
    </row>
    <row r="869" spans="1:7" x14ac:dyDescent="0.25">
      <c r="A869" s="129"/>
      <c r="F869" s="81"/>
      <c r="G869" s="130"/>
    </row>
    <row r="870" spans="1:7" s="65" customFormat="1" ht="13.8" x14ac:dyDescent="0.25">
      <c r="A870" s="78">
        <v>43.11</v>
      </c>
      <c r="B870" s="66" t="s">
        <v>693</v>
      </c>
      <c r="C870" s="68" t="s">
        <v>0</v>
      </c>
      <c r="D870" s="68" t="s">
        <v>5</v>
      </c>
      <c r="E870" s="68" t="s">
        <v>10</v>
      </c>
      <c r="F870" s="69" t="s">
        <v>6</v>
      </c>
      <c r="G870" s="66"/>
    </row>
    <row r="871" spans="1:7" s="3" customFormat="1" ht="30" customHeight="1" x14ac:dyDescent="0.25">
      <c r="A871" s="79" t="s">
        <v>1353</v>
      </c>
      <c r="B871" s="87" t="s">
        <v>694</v>
      </c>
      <c r="C871" s="116"/>
      <c r="D871" s="117"/>
      <c r="E871" s="121"/>
      <c r="F871" s="121"/>
      <c r="G871" s="115"/>
    </row>
    <row r="872" spans="1:7" ht="52.8" x14ac:dyDescent="0.25">
      <c r="A872" s="77" t="s">
        <v>1354</v>
      </c>
      <c r="B872" s="84" t="s">
        <v>695</v>
      </c>
      <c r="C872" s="55">
        <v>2</v>
      </c>
      <c r="D872" s="70" t="s">
        <v>3</v>
      </c>
      <c r="E872" s="93">
        <f>(29779.38*1.3*0.86)*1.44</f>
        <v>47942.419449600005</v>
      </c>
      <c r="F872" s="93">
        <f>C872*E872</f>
        <v>95884.838899200011</v>
      </c>
      <c r="G872" s="53"/>
    </row>
    <row r="873" spans="1:7" x14ac:dyDescent="0.25">
      <c r="A873" s="77"/>
      <c r="B873" s="53"/>
      <c r="C873" s="55"/>
      <c r="D873" s="70"/>
      <c r="E873" s="93"/>
      <c r="F873" s="93"/>
      <c r="G873" s="53"/>
    </row>
    <row r="874" spans="1:7" x14ac:dyDescent="0.25">
      <c r="A874" s="77"/>
      <c r="B874" s="53"/>
      <c r="C874" s="55"/>
      <c r="D874" s="70"/>
      <c r="E874" s="93"/>
      <c r="F874" s="93"/>
      <c r="G874" s="53"/>
    </row>
    <row r="875" spans="1:7" s="3" customFormat="1" x14ac:dyDescent="0.25">
      <c r="A875" s="85"/>
      <c r="B875" s="11" t="s">
        <v>7</v>
      </c>
      <c r="C875" s="12"/>
      <c r="D875" s="38"/>
      <c r="E875" s="12"/>
      <c r="F875" s="33">
        <f>SUM(F871:F874)</f>
        <v>95884.838899200011</v>
      </c>
      <c r="G875" s="37"/>
    </row>
    <row r="876" spans="1:7" s="3" customFormat="1" ht="13.8" thickBot="1" x14ac:dyDescent="0.3">
      <c r="A876" s="107"/>
      <c r="B876" s="39"/>
      <c r="C876" s="108"/>
      <c r="D876" s="109"/>
      <c r="E876" s="108"/>
      <c r="F876" s="110"/>
      <c r="G876" s="111"/>
    </row>
    <row r="877" spans="1:7" s="3" customFormat="1" ht="13.8" thickBot="1" x14ac:dyDescent="0.3">
      <c r="A877" s="150"/>
      <c r="B877" s="151" t="s">
        <v>759</v>
      </c>
      <c r="C877" s="152"/>
      <c r="D877" s="153"/>
      <c r="E877" s="152"/>
      <c r="F877" s="154">
        <f>F868+F875</f>
        <v>430438.31944495207</v>
      </c>
      <c r="G877" s="155"/>
    </row>
    <row r="878" spans="1:7" x14ac:dyDescent="0.25">
      <c r="E878" s="138"/>
      <c r="F878" s="138"/>
    </row>
    <row r="879" spans="1:7" s="63" customFormat="1" ht="15.6" x14ac:dyDescent="0.3">
      <c r="A879" s="73">
        <v>44</v>
      </c>
      <c r="B879" s="40" t="s">
        <v>590</v>
      </c>
      <c r="C879" s="59"/>
      <c r="D879" s="60"/>
      <c r="E879" s="169"/>
      <c r="F879" s="169"/>
      <c r="G879" s="40"/>
    </row>
    <row r="880" spans="1:7" s="65" customFormat="1" ht="13.8" x14ac:dyDescent="0.25">
      <c r="A880" s="78">
        <v>44.1</v>
      </c>
      <c r="B880" s="66" t="s">
        <v>591</v>
      </c>
      <c r="C880" s="68" t="s">
        <v>0</v>
      </c>
      <c r="D880" s="68" t="s">
        <v>5</v>
      </c>
      <c r="E880" s="68" t="s">
        <v>10</v>
      </c>
      <c r="F880" s="69" t="s">
        <v>6</v>
      </c>
      <c r="G880" s="66"/>
    </row>
    <row r="881" spans="1:7" s="3" customFormat="1" ht="39.6" x14ac:dyDescent="0.25">
      <c r="A881" s="79" t="s">
        <v>1355</v>
      </c>
      <c r="B881" s="87" t="s">
        <v>592</v>
      </c>
      <c r="C881" s="116"/>
      <c r="D881" s="117"/>
      <c r="E881" s="121"/>
      <c r="F881" s="121"/>
      <c r="G881" s="115"/>
    </row>
    <row r="882" spans="1:7" x14ac:dyDescent="0.25">
      <c r="A882" s="77"/>
      <c r="B882" s="88" t="s">
        <v>593</v>
      </c>
      <c r="C882" s="55"/>
      <c r="D882" s="70"/>
      <c r="E882" s="93"/>
      <c r="F882" s="93"/>
      <c r="G882" s="53"/>
    </row>
    <row r="883" spans="1:7" x14ac:dyDescent="0.25">
      <c r="A883" s="77" t="s">
        <v>1356</v>
      </c>
      <c r="B883" s="88" t="s">
        <v>594</v>
      </c>
      <c r="C883" s="55">
        <v>555.39</v>
      </c>
      <c r="D883" s="70" t="s">
        <v>1</v>
      </c>
      <c r="E883" s="93">
        <f>(37.9*1.3*0.86)*1.44</f>
        <v>61.015967999999994</v>
      </c>
      <c r="F883" s="93">
        <f>C883*E883</f>
        <v>33887.658467519999</v>
      </c>
      <c r="G883" s="53"/>
    </row>
    <row r="884" spans="1:7" x14ac:dyDescent="0.25">
      <c r="A884" s="77"/>
      <c r="B884" s="53"/>
      <c r="C884" s="55"/>
      <c r="D884" s="70"/>
      <c r="E884" s="93"/>
      <c r="F884" s="93"/>
      <c r="G884" s="53"/>
    </row>
    <row r="885" spans="1:7" x14ac:dyDescent="0.25">
      <c r="A885" s="77"/>
      <c r="B885" s="88" t="s">
        <v>595</v>
      </c>
      <c r="C885" s="55"/>
      <c r="D885" s="70"/>
      <c r="E885" s="93"/>
      <c r="F885" s="93"/>
      <c r="G885" s="53"/>
    </row>
    <row r="886" spans="1:7" x14ac:dyDescent="0.25">
      <c r="A886" s="77" t="s">
        <v>1357</v>
      </c>
      <c r="B886" s="88" t="s">
        <v>594</v>
      </c>
      <c r="C886" s="55">
        <v>31</v>
      </c>
      <c r="D886" s="70" t="s">
        <v>3</v>
      </c>
      <c r="E886" s="93">
        <f>(38.32*1.3*0.86)*1.44</f>
        <v>61.6921344</v>
      </c>
      <c r="F886" s="93">
        <f>C886*E886</f>
        <v>1912.4561664</v>
      </c>
      <c r="G886" s="53"/>
    </row>
    <row r="887" spans="1:7" x14ac:dyDescent="0.25">
      <c r="A887" s="77"/>
      <c r="B887" s="53"/>
      <c r="C887" s="55"/>
      <c r="D887" s="70"/>
      <c r="E887" s="93"/>
      <c r="F887" s="93"/>
      <c r="G887" s="53"/>
    </row>
    <row r="888" spans="1:7" x14ac:dyDescent="0.25">
      <c r="A888" s="77"/>
      <c r="B888" s="88" t="s">
        <v>596</v>
      </c>
      <c r="C888" s="55"/>
      <c r="D888" s="70"/>
      <c r="E888" s="93"/>
      <c r="F888" s="93"/>
      <c r="G888" s="53"/>
    </row>
    <row r="889" spans="1:7" x14ac:dyDescent="0.25">
      <c r="A889" s="77" t="s">
        <v>1358</v>
      </c>
      <c r="B889" s="88" t="s">
        <v>594</v>
      </c>
      <c r="C889" s="55">
        <v>54</v>
      </c>
      <c r="D889" s="70" t="s">
        <v>3</v>
      </c>
      <c r="E889" s="93">
        <f>(48.03*1.3*0.86)*1.44</f>
        <v>77.324457600000002</v>
      </c>
      <c r="F889" s="93">
        <f>C889*E889</f>
        <v>4175.5207104000001</v>
      </c>
      <c r="G889" s="53"/>
    </row>
    <row r="890" spans="1:7" x14ac:dyDescent="0.25">
      <c r="A890" s="77"/>
      <c r="B890" s="53"/>
      <c r="C890" s="55"/>
      <c r="D890" s="70"/>
      <c r="E890" s="93"/>
      <c r="F890" s="93"/>
      <c r="G890" s="53"/>
    </row>
    <row r="891" spans="1:7" s="3" customFormat="1" x14ac:dyDescent="0.25">
      <c r="A891" s="79" t="s">
        <v>1359</v>
      </c>
      <c r="B891" s="115" t="s">
        <v>597</v>
      </c>
      <c r="C891" s="116"/>
      <c r="D891" s="117"/>
      <c r="E891" s="121"/>
      <c r="F891" s="121"/>
      <c r="G891" s="115"/>
    </row>
    <row r="892" spans="1:7" ht="26.4" x14ac:dyDescent="0.25">
      <c r="A892" s="77"/>
      <c r="B892" s="84" t="s">
        <v>598</v>
      </c>
      <c r="C892" s="55"/>
      <c r="D892" s="70"/>
      <c r="E892" s="93"/>
      <c r="F892" s="93"/>
      <c r="G892" s="53"/>
    </row>
    <row r="893" spans="1:7" x14ac:dyDescent="0.25">
      <c r="A893" s="77"/>
      <c r="B893" s="88" t="s">
        <v>599</v>
      </c>
      <c r="C893" s="55"/>
      <c r="D893" s="70"/>
      <c r="E893" s="93"/>
      <c r="F893" s="93"/>
      <c r="G893" s="53"/>
    </row>
    <row r="894" spans="1:7" x14ac:dyDescent="0.25">
      <c r="A894" s="77" t="s">
        <v>1360</v>
      </c>
      <c r="B894" s="100" t="s">
        <v>600</v>
      </c>
      <c r="C894" s="91">
        <f>2221.56+200+(3.6*12)</f>
        <v>2464.7599999999998</v>
      </c>
      <c r="D894" s="55" t="s">
        <v>1</v>
      </c>
      <c r="E894" s="174">
        <f>(11.83*1.3*0.86)*1.44</f>
        <v>19.045353600000002</v>
      </c>
      <c r="F894" s="93">
        <f>C894*E894</f>
        <v>46942.225739136004</v>
      </c>
      <c r="G894" s="53"/>
    </row>
    <row r="895" spans="1:7" x14ac:dyDescent="0.25">
      <c r="A895" s="77"/>
      <c r="B895" s="53"/>
      <c r="C895" s="55"/>
      <c r="D895" s="70"/>
      <c r="E895" s="93"/>
      <c r="F895" s="93"/>
      <c r="G895" s="53"/>
    </row>
    <row r="896" spans="1:7" s="3" customFormat="1" x14ac:dyDescent="0.25">
      <c r="A896" s="79" t="s">
        <v>1361</v>
      </c>
      <c r="B896" s="115" t="s">
        <v>601</v>
      </c>
      <c r="C896" s="116"/>
      <c r="D896" s="117"/>
      <c r="E896" s="121"/>
      <c r="F896" s="121"/>
      <c r="G896" s="115"/>
    </row>
    <row r="897" spans="1:7" ht="26.4" x14ac:dyDescent="0.25">
      <c r="A897" s="77"/>
      <c r="B897" s="84" t="s">
        <v>602</v>
      </c>
      <c r="C897" s="55"/>
      <c r="D897" s="70"/>
      <c r="E897" s="93"/>
      <c r="F897" s="93"/>
      <c r="G897" s="53"/>
    </row>
    <row r="898" spans="1:7" x14ac:dyDescent="0.25">
      <c r="A898" s="77"/>
      <c r="B898" s="88" t="s">
        <v>603</v>
      </c>
      <c r="C898" s="55"/>
      <c r="D898" s="70"/>
      <c r="E898" s="93"/>
      <c r="F898" s="93"/>
      <c r="G898" s="53"/>
    </row>
    <row r="899" spans="1:7" x14ac:dyDescent="0.25">
      <c r="A899" s="77" t="s">
        <v>1362</v>
      </c>
      <c r="B899" s="88" t="s">
        <v>604</v>
      </c>
      <c r="C899" s="71">
        <v>80</v>
      </c>
      <c r="D899" s="70" t="s">
        <v>1</v>
      </c>
      <c r="E899" s="93">
        <f>(16.18*1.3*0.86)*1.44</f>
        <v>26.048505599999999</v>
      </c>
      <c r="F899" s="93">
        <f>C899*E899</f>
        <v>2083.8804479999999</v>
      </c>
      <c r="G899" s="53"/>
    </row>
    <row r="900" spans="1:7" x14ac:dyDescent="0.25">
      <c r="A900" s="77"/>
      <c r="B900" s="53"/>
      <c r="C900" s="55"/>
      <c r="D900" s="70"/>
      <c r="E900" s="93"/>
      <c r="F900" s="93"/>
      <c r="G900" s="53"/>
    </row>
    <row r="901" spans="1:7" s="3" customFormat="1" x14ac:dyDescent="0.25">
      <c r="A901" s="79" t="s">
        <v>1363</v>
      </c>
      <c r="B901" s="115" t="s">
        <v>605</v>
      </c>
      <c r="C901" s="116"/>
      <c r="D901" s="117"/>
      <c r="E901" s="121"/>
      <c r="F901" s="121"/>
      <c r="G901" s="115"/>
    </row>
    <row r="902" spans="1:7" ht="39.6" x14ac:dyDescent="0.25">
      <c r="A902" s="77"/>
      <c r="B902" s="84" t="s">
        <v>606</v>
      </c>
      <c r="C902" s="55"/>
      <c r="D902" s="70"/>
      <c r="E902" s="93"/>
      <c r="F902" s="93"/>
      <c r="G902" s="53"/>
    </row>
    <row r="903" spans="1:7" x14ac:dyDescent="0.25">
      <c r="A903" s="77"/>
      <c r="B903" s="88" t="s">
        <v>607</v>
      </c>
      <c r="C903" s="55"/>
      <c r="D903" s="70"/>
      <c r="E903" s="93"/>
      <c r="F903" s="93"/>
      <c r="G903" s="53"/>
    </row>
    <row r="904" spans="1:7" x14ac:dyDescent="0.25">
      <c r="A904" s="77" t="s">
        <v>1364</v>
      </c>
      <c r="B904" s="88" t="s">
        <v>608</v>
      </c>
      <c r="C904" s="55">
        <v>2</v>
      </c>
      <c r="D904" s="70" t="s">
        <v>3</v>
      </c>
      <c r="E904" s="93">
        <f>(3566.96*1.3*0.86)*1.44</f>
        <v>5742.5202431999996</v>
      </c>
      <c r="F904" s="93">
        <f>C904*E904</f>
        <v>11485.040486399999</v>
      </c>
      <c r="G904" s="53" t="s">
        <v>1278</v>
      </c>
    </row>
    <row r="905" spans="1:7" x14ac:dyDescent="0.25">
      <c r="A905" s="77"/>
      <c r="B905" s="53"/>
      <c r="C905" s="55"/>
      <c r="D905" s="70"/>
      <c r="E905" s="93"/>
      <c r="F905" s="93"/>
      <c r="G905" s="53"/>
    </row>
    <row r="906" spans="1:7" ht="39.6" x14ac:dyDescent="0.25">
      <c r="A906" s="77"/>
      <c r="B906" s="84" t="s">
        <v>609</v>
      </c>
      <c r="C906" s="55"/>
      <c r="D906" s="70"/>
      <c r="E906" s="93"/>
      <c r="F906" s="93"/>
      <c r="G906" s="53"/>
    </row>
    <row r="907" spans="1:7" x14ac:dyDescent="0.25">
      <c r="A907" s="77"/>
      <c r="B907" s="88" t="s">
        <v>610</v>
      </c>
      <c r="C907" s="55"/>
      <c r="D907" s="70"/>
      <c r="E907" s="93"/>
      <c r="F907" s="93"/>
      <c r="G907" s="53"/>
    </row>
    <row r="908" spans="1:7" x14ac:dyDescent="0.25">
      <c r="A908" s="77" t="s">
        <v>1365</v>
      </c>
      <c r="B908" s="88" t="s">
        <v>611</v>
      </c>
      <c r="C908" s="55">
        <v>2</v>
      </c>
      <c r="D908" s="70" t="s">
        <v>3</v>
      </c>
      <c r="E908" s="93">
        <f>(594.78*1.3*0.86)*1.44</f>
        <v>957.54821759999993</v>
      </c>
      <c r="F908" s="93">
        <f>C908*E908</f>
        <v>1915.0964351999999</v>
      </c>
      <c r="G908" s="53" t="s">
        <v>1278</v>
      </c>
    </row>
    <row r="909" spans="1:7" x14ac:dyDescent="0.25">
      <c r="A909" s="77"/>
      <c r="B909" s="53"/>
      <c r="C909" s="55"/>
      <c r="D909" s="70"/>
      <c r="E909" s="93"/>
      <c r="F909" s="93"/>
      <c r="G909" s="53"/>
    </row>
    <row r="910" spans="1:7" s="3" customFormat="1" x14ac:dyDescent="0.25">
      <c r="A910" s="79" t="s">
        <v>1366</v>
      </c>
      <c r="B910" s="115" t="s">
        <v>612</v>
      </c>
      <c r="C910" s="116"/>
      <c r="D910" s="117"/>
      <c r="E910" s="121"/>
      <c r="F910" s="121"/>
      <c r="G910" s="115"/>
    </row>
    <row r="911" spans="1:7" ht="26.4" x14ac:dyDescent="0.25">
      <c r="A911" s="77"/>
      <c r="B911" s="84" t="s">
        <v>613</v>
      </c>
      <c r="C911" s="55"/>
      <c r="D911" s="70"/>
      <c r="E911" s="93"/>
      <c r="F911" s="93"/>
      <c r="G911" s="53"/>
    </row>
    <row r="912" spans="1:7" x14ac:dyDescent="0.25">
      <c r="A912" s="77"/>
      <c r="B912" s="88" t="s">
        <v>614</v>
      </c>
      <c r="C912" s="55"/>
      <c r="D912" s="70"/>
      <c r="E912" s="93"/>
      <c r="F912" s="93"/>
      <c r="G912" s="53"/>
    </row>
    <row r="913" spans="1:7" x14ac:dyDescent="0.25">
      <c r="A913" s="77" t="s">
        <v>1367</v>
      </c>
      <c r="B913" s="88" t="s">
        <v>615</v>
      </c>
      <c r="C913" s="55">
        <v>2</v>
      </c>
      <c r="D913" s="70" t="s">
        <v>3</v>
      </c>
      <c r="E913" s="93">
        <f>(514.78*1.3*0.86)*1.44</f>
        <v>828.75461759999985</v>
      </c>
      <c r="F913" s="93">
        <f>C913*E913</f>
        <v>1657.5092351999997</v>
      </c>
      <c r="G913" s="53" t="s">
        <v>1278</v>
      </c>
    </row>
    <row r="914" spans="1:7" x14ac:dyDescent="0.25">
      <c r="A914" s="77"/>
      <c r="B914" s="53"/>
      <c r="C914" s="55"/>
      <c r="D914" s="70"/>
      <c r="E914" s="93"/>
      <c r="F914" s="93"/>
      <c r="G914" s="53"/>
    </row>
    <row r="915" spans="1:7" x14ac:dyDescent="0.25">
      <c r="A915" s="77"/>
      <c r="B915" s="53"/>
      <c r="C915" s="55"/>
      <c r="D915" s="70"/>
      <c r="E915" s="93"/>
      <c r="F915" s="93"/>
      <c r="G915" s="53"/>
    </row>
    <row r="916" spans="1:7" s="3" customFormat="1" x14ac:dyDescent="0.25">
      <c r="A916" s="85"/>
      <c r="B916" s="11" t="s">
        <v>7</v>
      </c>
      <c r="C916" s="12"/>
      <c r="D916" s="38"/>
      <c r="E916" s="12"/>
      <c r="F916" s="33">
        <f>SUM(F881:F915)</f>
        <v>104059.387688256</v>
      </c>
      <c r="G916" s="37"/>
    </row>
    <row r="917" spans="1:7" x14ac:dyDescent="0.25">
      <c r="E917" s="98"/>
      <c r="F917" s="98"/>
    </row>
    <row r="918" spans="1:7" s="65" customFormat="1" ht="13.8" x14ac:dyDescent="0.25">
      <c r="A918" s="78">
        <v>44.2</v>
      </c>
      <c r="B918" s="66" t="s">
        <v>616</v>
      </c>
      <c r="C918" s="68" t="s">
        <v>0</v>
      </c>
      <c r="D918" s="68" t="s">
        <v>5</v>
      </c>
      <c r="E918" s="68" t="s">
        <v>10</v>
      </c>
      <c r="F918" s="69" t="s">
        <v>6</v>
      </c>
      <c r="G918" s="66"/>
    </row>
    <row r="919" spans="1:7" s="3" customFormat="1" x14ac:dyDescent="0.25">
      <c r="A919" s="79" t="s">
        <v>1368</v>
      </c>
      <c r="B919" s="3" t="s">
        <v>617</v>
      </c>
      <c r="C919" s="116"/>
      <c r="D919" s="117"/>
      <c r="E919" s="121"/>
      <c r="F919" s="121"/>
      <c r="G919" s="115"/>
    </row>
    <row r="920" spans="1:7" ht="26.4" x14ac:dyDescent="0.25">
      <c r="A920" s="77"/>
      <c r="B920" s="84" t="s">
        <v>618</v>
      </c>
      <c r="C920" s="55"/>
      <c r="D920" s="70"/>
      <c r="E920" s="93"/>
      <c r="F920" s="93"/>
      <c r="G920" s="53"/>
    </row>
    <row r="921" spans="1:7" x14ac:dyDescent="0.25">
      <c r="A921" s="77" t="s">
        <v>1369</v>
      </c>
      <c r="B921" s="88" t="s">
        <v>619</v>
      </c>
      <c r="C921" s="55">
        <v>523</v>
      </c>
      <c r="D921" s="70" t="s">
        <v>3</v>
      </c>
      <c r="E921" s="93">
        <f>(331.93*1.3*0.86)*1.44</f>
        <v>534.38074559999995</v>
      </c>
      <c r="F921" s="93">
        <f>C921*E921</f>
        <v>279481.12994879996</v>
      </c>
      <c r="G921" s="53" t="s">
        <v>1280</v>
      </c>
    </row>
    <row r="922" spans="1:7" x14ac:dyDescent="0.25">
      <c r="A922" s="77"/>
      <c r="B922" s="53"/>
      <c r="C922" s="55"/>
      <c r="D922" s="70"/>
      <c r="E922" s="93"/>
      <c r="F922" s="93"/>
      <c r="G922" s="53"/>
    </row>
    <row r="923" spans="1:7" ht="26.4" x14ac:dyDescent="0.25">
      <c r="A923" s="77"/>
      <c r="B923" s="84" t="s">
        <v>620</v>
      </c>
      <c r="C923" s="55"/>
      <c r="D923" s="70"/>
      <c r="E923" s="93"/>
      <c r="F923" s="93"/>
      <c r="G923" s="53"/>
    </row>
    <row r="924" spans="1:7" x14ac:dyDescent="0.25">
      <c r="A924" s="77" t="s">
        <v>1370</v>
      </c>
      <c r="B924" s="88" t="s">
        <v>621</v>
      </c>
      <c r="C924" s="55">
        <v>18</v>
      </c>
      <c r="D924" s="70" t="s">
        <v>3</v>
      </c>
      <c r="E924" s="93">
        <f>(212.33*1.3*0.86)*1.44</f>
        <v>341.83431360000003</v>
      </c>
      <c r="F924" s="93">
        <f>C924*E924</f>
        <v>6153.0176448000002</v>
      </c>
      <c r="G924" s="53" t="s">
        <v>1282</v>
      </c>
    </row>
    <row r="925" spans="1:7" x14ac:dyDescent="0.25">
      <c r="A925" s="77"/>
      <c r="B925" s="53"/>
      <c r="C925" s="55"/>
      <c r="D925" s="70"/>
      <c r="E925" s="93"/>
      <c r="F925" s="93"/>
      <c r="G925" s="53"/>
    </row>
    <row r="926" spans="1:7" ht="27" customHeight="1" x14ac:dyDescent="0.25">
      <c r="A926" s="77"/>
      <c r="B926" s="136" t="s">
        <v>622</v>
      </c>
      <c r="C926" s="55"/>
      <c r="D926" s="70"/>
      <c r="E926" s="93"/>
      <c r="F926" s="93"/>
      <c r="G926" s="53"/>
    </row>
    <row r="927" spans="1:7" x14ac:dyDescent="0.25">
      <c r="A927" s="77" t="s">
        <v>1371</v>
      </c>
      <c r="B927" s="88" t="s">
        <v>623</v>
      </c>
      <c r="C927" s="55">
        <v>120</v>
      </c>
      <c r="D927" s="70" t="s">
        <v>3</v>
      </c>
      <c r="E927" s="93">
        <f>(227.74*1.3*0.86)*1.44</f>
        <v>366.64318079999998</v>
      </c>
      <c r="F927" s="93">
        <f>C927*E927</f>
        <v>43997.181696</v>
      </c>
      <c r="G927" s="53" t="s">
        <v>1281</v>
      </c>
    </row>
    <row r="928" spans="1:7" x14ac:dyDescent="0.25">
      <c r="A928" s="77"/>
      <c r="B928" s="53"/>
      <c r="C928" s="55"/>
      <c r="D928" s="70"/>
      <c r="E928" s="93"/>
      <c r="F928" s="93"/>
      <c r="G928" s="53"/>
    </row>
    <row r="929" spans="1:7" x14ac:dyDescent="0.25">
      <c r="A929" s="77"/>
      <c r="B929" s="53"/>
      <c r="C929" s="55"/>
      <c r="D929" s="70"/>
      <c r="E929" s="93"/>
      <c r="F929" s="93"/>
      <c r="G929" s="53"/>
    </row>
    <row r="930" spans="1:7" s="3" customFormat="1" x14ac:dyDescent="0.25">
      <c r="A930" s="85"/>
      <c r="B930" s="11" t="s">
        <v>7</v>
      </c>
      <c r="C930" s="12"/>
      <c r="D930" s="38"/>
      <c r="E930" s="12"/>
      <c r="F930" s="33">
        <f>SUM(F919:F929)</f>
        <v>329631.32928959996</v>
      </c>
      <c r="G930" s="37"/>
    </row>
    <row r="931" spans="1:7" x14ac:dyDescent="0.25">
      <c r="E931" s="98"/>
      <c r="F931" s="98"/>
    </row>
    <row r="932" spans="1:7" s="65" customFormat="1" ht="13.8" x14ac:dyDescent="0.25">
      <c r="A932" s="78">
        <v>44.3</v>
      </c>
      <c r="B932" s="66" t="s">
        <v>624</v>
      </c>
      <c r="C932" s="68" t="s">
        <v>0</v>
      </c>
      <c r="D932" s="68" t="s">
        <v>5</v>
      </c>
      <c r="E932" s="68" t="s">
        <v>10</v>
      </c>
      <c r="F932" s="69" t="s">
        <v>6</v>
      </c>
      <c r="G932" s="66"/>
    </row>
    <row r="933" spans="1:7" s="3" customFormat="1" x14ac:dyDescent="0.25">
      <c r="A933" s="79" t="s">
        <v>1372</v>
      </c>
      <c r="B933" s="3" t="s">
        <v>625</v>
      </c>
      <c r="C933" s="116"/>
      <c r="D933" s="117"/>
      <c r="E933" s="121"/>
      <c r="F933" s="121"/>
      <c r="G933" s="115"/>
    </row>
    <row r="934" spans="1:7" ht="26.4" x14ac:dyDescent="0.25">
      <c r="A934" s="77"/>
      <c r="B934" s="84" t="s">
        <v>628</v>
      </c>
      <c r="C934" s="55"/>
      <c r="D934" s="70"/>
      <c r="E934" s="93"/>
      <c r="F934" s="93"/>
      <c r="G934" s="53"/>
    </row>
    <row r="935" spans="1:7" x14ac:dyDescent="0.25">
      <c r="A935" s="77" t="s">
        <v>1373</v>
      </c>
      <c r="B935" s="88" t="s">
        <v>629</v>
      </c>
      <c r="C935" s="55">
        <v>13</v>
      </c>
      <c r="D935" s="70" t="s">
        <v>3</v>
      </c>
      <c r="E935" s="93">
        <f>(23.11*1.3*0.86)*1.44</f>
        <v>37.205251199999999</v>
      </c>
      <c r="F935" s="93">
        <f>C935*E935</f>
        <v>483.66826559999998</v>
      </c>
      <c r="G935" s="53"/>
    </row>
    <row r="936" spans="1:7" x14ac:dyDescent="0.25">
      <c r="A936" s="77" t="s">
        <v>1374</v>
      </c>
      <c r="B936" s="88" t="s">
        <v>630</v>
      </c>
      <c r="C936" s="55">
        <v>22</v>
      </c>
      <c r="D936" s="70" t="s">
        <v>3</v>
      </c>
      <c r="E936" s="93">
        <f>(34.15*1.3*0.86)*1.44</f>
        <v>54.978768000000002</v>
      </c>
      <c r="F936" s="93">
        <f>C936*E936</f>
        <v>1209.5328960000002</v>
      </c>
      <c r="G936" s="53"/>
    </row>
    <row r="937" spans="1:7" x14ac:dyDescent="0.25">
      <c r="A937" s="77" t="s">
        <v>1375</v>
      </c>
      <c r="B937" s="88" t="s">
        <v>631</v>
      </c>
      <c r="C937" s="55">
        <f>1+1+1+1</f>
        <v>4</v>
      </c>
      <c r="D937" s="70" t="s">
        <v>3</v>
      </c>
      <c r="E937" s="93">
        <f>(41.7*1.3*0.86)*1.44</f>
        <v>67.133663999999996</v>
      </c>
      <c r="F937" s="93">
        <f>C937*E937</f>
        <v>268.53465599999998</v>
      </c>
      <c r="G937" s="53"/>
    </row>
    <row r="938" spans="1:7" x14ac:dyDescent="0.25">
      <c r="A938" s="77"/>
      <c r="B938" s="53"/>
      <c r="C938" s="55"/>
      <c r="D938" s="70"/>
      <c r="E938" s="93"/>
      <c r="F938" s="93"/>
      <c r="G938" s="53"/>
    </row>
    <row r="939" spans="1:7" x14ac:dyDescent="0.25">
      <c r="A939" s="77"/>
      <c r="B939" s="53"/>
      <c r="C939" s="55"/>
      <c r="D939" s="70"/>
      <c r="E939" s="93"/>
      <c r="F939" s="93"/>
      <c r="G939" s="53"/>
    </row>
    <row r="940" spans="1:7" s="3" customFormat="1" x14ac:dyDescent="0.25">
      <c r="A940" s="85"/>
      <c r="B940" s="11" t="s">
        <v>7</v>
      </c>
      <c r="C940" s="12"/>
      <c r="D940" s="38"/>
      <c r="E940" s="12"/>
      <c r="F940" s="33">
        <f>SUM(F933:F939)</f>
        <v>1961.7358176000002</v>
      </c>
      <c r="G940" s="37"/>
    </row>
    <row r="941" spans="1:7" x14ac:dyDescent="0.25">
      <c r="B941" s="84"/>
      <c r="E941" s="98"/>
      <c r="F941" s="98"/>
    </row>
    <row r="942" spans="1:7" s="65" customFormat="1" ht="13.8" x14ac:dyDescent="0.25">
      <c r="A942" s="78">
        <v>44.4</v>
      </c>
      <c r="B942" s="66" t="s">
        <v>534</v>
      </c>
      <c r="C942" s="68" t="s">
        <v>0</v>
      </c>
      <c r="D942" s="68" t="s">
        <v>5</v>
      </c>
      <c r="E942" s="68" t="s">
        <v>10</v>
      </c>
      <c r="F942" s="69" t="s">
        <v>6</v>
      </c>
      <c r="G942" s="66"/>
    </row>
    <row r="943" spans="1:7" s="3" customFormat="1" x14ac:dyDescent="0.25">
      <c r="A943" s="79" t="s">
        <v>1376</v>
      </c>
      <c r="B943" s="115" t="s">
        <v>632</v>
      </c>
      <c r="C943" s="116"/>
      <c r="D943" s="117"/>
      <c r="E943" s="121"/>
      <c r="F943" s="121"/>
      <c r="G943" s="115"/>
    </row>
    <row r="944" spans="1:7" ht="26.4" x14ac:dyDescent="0.25">
      <c r="A944" s="77"/>
      <c r="B944" s="84" t="s">
        <v>633</v>
      </c>
      <c r="C944" s="55"/>
      <c r="D944" s="70"/>
      <c r="E944" s="93"/>
      <c r="F944" s="93"/>
      <c r="G944" s="53"/>
    </row>
    <row r="945" spans="1:7" x14ac:dyDescent="0.25">
      <c r="A945" s="77" t="s">
        <v>1377</v>
      </c>
      <c r="B945" s="88" t="s">
        <v>626</v>
      </c>
      <c r="C945" s="55">
        <v>19</v>
      </c>
      <c r="D945" s="70" t="s">
        <v>3</v>
      </c>
      <c r="E945" s="93">
        <f>(22.31*1.3*0.86)*1.44</f>
        <v>35.917315199999997</v>
      </c>
      <c r="F945" s="93">
        <f>C945*E945</f>
        <v>682.42898879999996</v>
      </c>
      <c r="G945" s="53"/>
    </row>
    <row r="946" spans="1:7" x14ac:dyDescent="0.25">
      <c r="A946" s="77" t="s">
        <v>1378</v>
      </c>
      <c r="B946" s="88" t="s">
        <v>627</v>
      </c>
      <c r="C946" s="55">
        <f>83-15</f>
        <v>68</v>
      </c>
      <c r="D946" s="70" t="s">
        <v>3</v>
      </c>
      <c r="E946" s="93">
        <f>(26.79*1.3*0.86)*1.44</f>
        <v>43.129756799999996</v>
      </c>
      <c r="F946" s="93">
        <f>C946*E946</f>
        <v>2932.8234623999997</v>
      </c>
      <c r="G946" s="53"/>
    </row>
    <row r="947" spans="1:7" x14ac:dyDescent="0.25">
      <c r="A947" s="77"/>
      <c r="B947" s="53"/>
      <c r="C947" s="55"/>
      <c r="D947" s="70"/>
      <c r="E947" s="93"/>
      <c r="F947" s="93"/>
      <c r="G947" s="53"/>
    </row>
    <row r="948" spans="1:7" ht="39.6" x14ac:dyDescent="0.25">
      <c r="A948" s="77"/>
      <c r="B948" s="84" t="s">
        <v>634</v>
      </c>
      <c r="C948" s="55"/>
      <c r="D948" s="70"/>
      <c r="E948" s="93"/>
      <c r="F948" s="93"/>
      <c r="G948" s="53"/>
    </row>
    <row r="949" spans="1:7" x14ac:dyDescent="0.25">
      <c r="A949" s="77" t="s">
        <v>1379</v>
      </c>
      <c r="B949" s="88" t="s">
        <v>635</v>
      </c>
      <c r="C949" s="55">
        <v>13</v>
      </c>
      <c r="D949" s="70" t="s">
        <v>3</v>
      </c>
      <c r="E949" s="93">
        <f>(133.75*1.3*0.86)*1.44</f>
        <v>215.32679999999999</v>
      </c>
      <c r="F949" s="93">
        <f>C949*E949</f>
        <v>2799.2483999999999</v>
      </c>
      <c r="G949" s="53"/>
    </row>
    <row r="950" spans="1:7" x14ac:dyDescent="0.25">
      <c r="A950" s="77"/>
      <c r="B950" s="53"/>
      <c r="C950" s="55"/>
      <c r="D950" s="70"/>
      <c r="E950" s="93"/>
      <c r="F950" s="93"/>
      <c r="G950" s="53"/>
    </row>
    <row r="951" spans="1:7" ht="26.4" x14ac:dyDescent="0.25">
      <c r="A951" s="77"/>
      <c r="B951" s="84" t="s">
        <v>636</v>
      </c>
      <c r="C951" s="55"/>
      <c r="D951" s="70"/>
      <c r="E951" s="93"/>
      <c r="F951" s="93"/>
      <c r="G951" s="53"/>
    </row>
    <row r="952" spans="1:7" x14ac:dyDescent="0.25">
      <c r="A952" s="77" t="s">
        <v>1380</v>
      </c>
      <c r="B952" s="88" t="s">
        <v>637</v>
      </c>
      <c r="C952" s="55">
        <v>50</v>
      </c>
      <c r="D952" s="70" t="s">
        <v>3</v>
      </c>
      <c r="E952" s="93">
        <f>(137.08*1.3*0.86)*1.44</f>
        <v>220.68783360000003</v>
      </c>
      <c r="F952" s="93">
        <f>C952*E952</f>
        <v>11034.391680000002</v>
      </c>
      <c r="G952" s="53"/>
    </row>
    <row r="953" spans="1:7" x14ac:dyDescent="0.25">
      <c r="A953" s="77"/>
      <c r="B953" s="88"/>
      <c r="C953" s="55"/>
      <c r="D953" s="70"/>
      <c r="E953" s="93"/>
      <c r="F953" s="93"/>
      <c r="G953" s="53"/>
    </row>
    <row r="954" spans="1:7" ht="26.4" x14ac:dyDescent="0.25">
      <c r="A954" s="77"/>
      <c r="B954" s="84" t="s">
        <v>651</v>
      </c>
      <c r="C954" s="55"/>
      <c r="D954" s="70"/>
      <c r="E954" s="93"/>
      <c r="F954" s="93"/>
      <c r="G954" s="53"/>
    </row>
    <row r="955" spans="1:7" x14ac:dyDescent="0.25">
      <c r="A955" s="77"/>
      <c r="B955" s="88" t="s">
        <v>652</v>
      </c>
      <c r="C955" s="55"/>
      <c r="D955" s="70"/>
      <c r="E955" s="93"/>
      <c r="F955" s="93"/>
      <c r="G955" s="53"/>
    </row>
    <row r="956" spans="1:7" x14ac:dyDescent="0.25">
      <c r="A956" s="77" t="s">
        <v>1381</v>
      </c>
      <c r="B956" s="88" t="s">
        <v>653</v>
      </c>
      <c r="C956" s="55">
        <v>12</v>
      </c>
      <c r="D956" s="70" t="s">
        <v>3</v>
      </c>
      <c r="E956" s="93">
        <f>(46.89*1.3*0.86)*1.44</f>
        <v>75.489148799999995</v>
      </c>
      <c r="F956" s="93">
        <f>C956*E956</f>
        <v>905.86978559999989</v>
      </c>
      <c r="G956" s="53"/>
    </row>
    <row r="957" spans="1:7" x14ac:dyDescent="0.25">
      <c r="A957" s="77"/>
      <c r="B957" s="53"/>
      <c r="C957" s="55"/>
      <c r="D957" s="70"/>
      <c r="E957" s="93"/>
      <c r="F957" s="93"/>
      <c r="G957" s="53"/>
    </row>
    <row r="958" spans="1:7" s="3" customFormat="1" x14ac:dyDescent="0.25">
      <c r="A958" s="79" t="s">
        <v>1382</v>
      </c>
      <c r="B958" s="115" t="s">
        <v>638</v>
      </c>
      <c r="C958" s="116"/>
      <c r="D958" s="117"/>
      <c r="E958" s="121"/>
      <c r="F958" s="121"/>
      <c r="G958" s="115"/>
    </row>
    <row r="959" spans="1:7" ht="26.4" x14ac:dyDescent="0.25">
      <c r="A959" s="77"/>
      <c r="B959" s="84" t="s">
        <v>639</v>
      </c>
      <c r="C959" s="55"/>
      <c r="D959" s="70"/>
      <c r="E959" s="93"/>
      <c r="F959" s="93"/>
      <c r="G959" s="53"/>
    </row>
    <row r="960" spans="1:7" x14ac:dyDescent="0.25">
      <c r="A960" s="77" t="s">
        <v>1383</v>
      </c>
      <c r="B960" s="88" t="s">
        <v>640</v>
      </c>
      <c r="C960" s="55">
        <v>1</v>
      </c>
      <c r="D960" s="70" t="s">
        <v>3</v>
      </c>
      <c r="E960" s="93">
        <f>(78.65*1.3*0.86)*1.44</f>
        <v>126.62020799999999</v>
      </c>
      <c r="F960" s="93">
        <f>C960*E960</f>
        <v>126.62020799999999</v>
      </c>
      <c r="G960" s="53"/>
    </row>
    <row r="961" spans="1:7" x14ac:dyDescent="0.25">
      <c r="A961" s="77"/>
      <c r="B961" s="53"/>
      <c r="C961" s="55"/>
      <c r="D961" s="70"/>
      <c r="E961" s="93"/>
      <c r="F961" s="93"/>
      <c r="G961" s="53"/>
    </row>
    <row r="962" spans="1:7" x14ac:dyDescent="0.25">
      <c r="A962" s="77"/>
      <c r="B962" s="53"/>
      <c r="C962" s="55"/>
      <c r="D962" s="70"/>
      <c r="E962" s="93"/>
      <c r="F962" s="93"/>
      <c r="G962" s="53"/>
    </row>
    <row r="963" spans="1:7" s="3" customFormat="1" x14ac:dyDescent="0.25">
      <c r="A963" s="85"/>
      <c r="B963" s="11" t="s">
        <v>7</v>
      </c>
      <c r="C963" s="12"/>
      <c r="D963" s="38"/>
      <c r="E963" s="12"/>
      <c r="F963" s="33">
        <f>SUM(F943:F962)</f>
        <v>18481.382524800003</v>
      </c>
      <c r="G963" s="37"/>
    </row>
    <row r="964" spans="1:7" x14ac:dyDescent="0.25">
      <c r="E964" s="98"/>
      <c r="F964" s="98"/>
    </row>
    <row r="965" spans="1:7" s="65" customFormat="1" ht="13.8" x14ac:dyDescent="0.25">
      <c r="A965" s="78">
        <v>44.5</v>
      </c>
      <c r="B965" s="66" t="s">
        <v>641</v>
      </c>
      <c r="C965" s="68" t="s">
        <v>0</v>
      </c>
      <c r="D965" s="68" t="s">
        <v>5</v>
      </c>
      <c r="E965" s="68" t="s">
        <v>10</v>
      </c>
      <c r="F965" s="69" t="s">
        <v>6</v>
      </c>
      <c r="G965" s="66"/>
    </row>
    <row r="966" spans="1:7" s="3" customFormat="1" x14ac:dyDescent="0.25">
      <c r="A966" s="79" t="s">
        <v>1384</v>
      </c>
      <c r="B966" s="3" t="s">
        <v>642</v>
      </c>
      <c r="C966" s="116"/>
      <c r="D966" s="117"/>
      <c r="E966" s="121"/>
      <c r="F966" s="121"/>
      <c r="G966" s="115"/>
    </row>
    <row r="967" spans="1:7" ht="66" x14ac:dyDescent="0.25">
      <c r="A967" s="77"/>
      <c r="B967" s="84" t="s">
        <v>643</v>
      </c>
      <c r="C967" s="55"/>
      <c r="D967" s="70"/>
      <c r="E967" s="93"/>
      <c r="F967" s="93"/>
      <c r="G967" s="53"/>
    </row>
    <row r="968" spans="1:7" x14ac:dyDescent="0.25">
      <c r="A968" s="77"/>
      <c r="B968" s="88" t="s">
        <v>644</v>
      </c>
      <c r="C968" s="55"/>
      <c r="D968" s="70"/>
      <c r="E968" s="93"/>
      <c r="F968" s="93"/>
      <c r="G968" s="53"/>
    </row>
    <row r="969" spans="1:7" x14ac:dyDescent="0.25">
      <c r="A969" s="77" t="s">
        <v>1385</v>
      </c>
      <c r="B969" s="88" t="s">
        <v>645</v>
      </c>
      <c r="C969" s="55">
        <v>1</v>
      </c>
      <c r="D969" s="70" t="s">
        <v>3</v>
      </c>
      <c r="E969" s="93">
        <f>(6374.48*1.3*0.86)*1.44</f>
        <v>10262.4028416</v>
      </c>
      <c r="F969" s="93">
        <f>C969*E969</f>
        <v>10262.4028416</v>
      </c>
      <c r="G969" s="53"/>
    </row>
    <row r="970" spans="1:7" x14ac:dyDescent="0.25">
      <c r="A970" s="77"/>
      <c r="B970" s="53"/>
      <c r="C970" s="55"/>
      <c r="D970" s="70"/>
      <c r="E970" s="93"/>
      <c r="F970" s="93"/>
      <c r="G970" s="53"/>
    </row>
    <row r="971" spans="1:7" x14ac:dyDescent="0.25">
      <c r="A971" s="77"/>
      <c r="B971" s="53"/>
      <c r="C971" s="55"/>
      <c r="D971" s="70"/>
      <c r="E971" s="93"/>
      <c r="F971" s="93"/>
      <c r="G971" s="53"/>
    </row>
    <row r="972" spans="1:7" s="3" customFormat="1" x14ac:dyDescent="0.25">
      <c r="A972" s="85"/>
      <c r="B972" s="11" t="s">
        <v>7</v>
      </c>
      <c r="C972" s="12"/>
      <c r="D972" s="38"/>
      <c r="E972" s="12"/>
      <c r="F972" s="33">
        <f>SUM(F966:F971)</f>
        <v>10262.4028416</v>
      </c>
      <c r="G972" s="37"/>
    </row>
    <row r="973" spans="1:7" x14ac:dyDescent="0.25">
      <c r="E973" s="98"/>
      <c r="F973" s="98"/>
    </row>
    <row r="974" spans="1:7" s="65" customFormat="1" ht="13.8" x14ac:dyDescent="0.25">
      <c r="A974" s="78">
        <v>44.6</v>
      </c>
      <c r="B974" s="66" t="s">
        <v>646</v>
      </c>
      <c r="C974" s="68" t="s">
        <v>0</v>
      </c>
      <c r="D974" s="68" t="s">
        <v>5</v>
      </c>
      <c r="E974" s="68" t="s">
        <v>10</v>
      </c>
      <c r="F974" s="69" t="s">
        <v>6</v>
      </c>
      <c r="G974" s="66"/>
    </row>
    <row r="975" spans="1:7" s="3" customFormat="1" ht="27.6" customHeight="1" x14ac:dyDescent="0.25">
      <c r="A975" s="79" t="s">
        <v>1386</v>
      </c>
      <c r="B975" s="87" t="s">
        <v>647</v>
      </c>
      <c r="C975" s="116"/>
      <c r="D975" s="117"/>
      <c r="E975" s="121"/>
      <c r="F975" s="121"/>
      <c r="G975" s="115"/>
    </row>
    <row r="976" spans="1:7" ht="26.4" x14ac:dyDescent="0.25">
      <c r="A976" s="77"/>
      <c r="B976" s="112" t="s">
        <v>648</v>
      </c>
      <c r="C976" s="55"/>
      <c r="E976" s="93"/>
      <c r="F976" s="93"/>
      <c r="G976" s="53"/>
    </row>
    <row r="977" spans="1:7" x14ac:dyDescent="0.25">
      <c r="A977" s="77" t="s">
        <v>1387</v>
      </c>
      <c r="B977" s="88" t="s">
        <v>649</v>
      </c>
      <c r="C977" s="55">
        <v>18.309999999999999</v>
      </c>
      <c r="D977" s="70" t="s">
        <v>1</v>
      </c>
      <c r="E977" s="93">
        <f>(2.15*1.3*0.86)*1.44</f>
        <v>3.4613279999999995</v>
      </c>
      <c r="F977" s="93">
        <f>C977*E977</f>
        <v>63.376915679999989</v>
      </c>
      <c r="G977" s="53"/>
    </row>
    <row r="978" spans="1:7" x14ac:dyDescent="0.25">
      <c r="A978" s="77"/>
      <c r="B978" s="53"/>
      <c r="C978" s="55"/>
      <c r="D978" s="70"/>
      <c r="E978" s="93"/>
      <c r="F978" s="93"/>
      <c r="G978" s="53"/>
    </row>
    <row r="979" spans="1:7" s="3" customFormat="1" x14ac:dyDescent="0.25">
      <c r="A979" s="79" t="s">
        <v>1388</v>
      </c>
      <c r="B979" s="115" t="s">
        <v>534</v>
      </c>
      <c r="C979" s="116"/>
      <c r="D979" s="117"/>
      <c r="E979" s="121"/>
      <c r="F979" s="121"/>
      <c r="G979" s="115"/>
    </row>
    <row r="980" spans="1:7" ht="26.4" x14ac:dyDescent="0.25">
      <c r="A980" s="77"/>
      <c r="B980" s="84" t="s">
        <v>650</v>
      </c>
      <c r="C980" s="55"/>
      <c r="D980" s="70"/>
      <c r="E980" s="93"/>
      <c r="F980" s="93"/>
      <c r="G980" s="53"/>
    </row>
    <row r="981" spans="1:7" x14ac:dyDescent="0.25">
      <c r="A981" s="77" t="s">
        <v>1389</v>
      </c>
      <c r="B981" s="88" t="s">
        <v>840</v>
      </c>
      <c r="C981" s="55">
        <v>3</v>
      </c>
      <c r="D981" s="70" t="s">
        <v>3</v>
      </c>
      <c r="E981" s="93">
        <f>(23.08*1.3*0.86)*1.44</f>
        <v>37.156953599999994</v>
      </c>
      <c r="F981" s="93">
        <f>C981*E981</f>
        <v>111.47086079999998</v>
      </c>
      <c r="G981" s="53"/>
    </row>
    <row r="982" spans="1:7" x14ac:dyDescent="0.25">
      <c r="A982" s="77"/>
      <c r="B982" s="53"/>
      <c r="C982" s="55"/>
      <c r="D982" s="70"/>
      <c r="E982" s="93"/>
      <c r="F982" s="93"/>
      <c r="G982" s="53"/>
    </row>
    <row r="983" spans="1:7" x14ac:dyDescent="0.25">
      <c r="A983" s="77"/>
      <c r="B983" s="53"/>
      <c r="C983" s="55"/>
      <c r="D983" s="70"/>
      <c r="E983" s="93"/>
      <c r="F983" s="93"/>
      <c r="G983" s="53"/>
    </row>
    <row r="984" spans="1:7" s="3" customFormat="1" x14ac:dyDescent="0.25">
      <c r="A984" s="85"/>
      <c r="B984" s="11" t="s">
        <v>7</v>
      </c>
      <c r="C984" s="12"/>
      <c r="D984" s="38"/>
      <c r="E984" s="12"/>
      <c r="F984" s="33">
        <f>SUM(F975:F983)</f>
        <v>174.84777647999996</v>
      </c>
      <c r="G984" s="37"/>
    </row>
    <row r="985" spans="1:7" x14ac:dyDescent="0.25">
      <c r="E985" s="98"/>
      <c r="F985" s="98"/>
    </row>
    <row r="986" spans="1:7" s="65" customFormat="1" ht="13.8" x14ac:dyDescent="0.25">
      <c r="A986" s="78">
        <v>44.7</v>
      </c>
      <c r="B986" s="66" t="s">
        <v>654</v>
      </c>
      <c r="C986" s="68" t="s">
        <v>0</v>
      </c>
      <c r="D986" s="68" t="s">
        <v>5</v>
      </c>
      <c r="E986" s="68" t="s">
        <v>10</v>
      </c>
      <c r="F986" s="69" t="s">
        <v>6</v>
      </c>
      <c r="G986" s="66"/>
    </row>
    <row r="987" spans="1:7" s="3" customFormat="1" ht="39.6" x14ac:dyDescent="0.25">
      <c r="A987" s="79" t="s">
        <v>1390</v>
      </c>
      <c r="B987" s="87" t="s">
        <v>655</v>
      </c>
      <c r="C987" s="116"/>
      <c r="D987" s="117"/>
      <c r="E987" s="121"/>
      <c r="F987" s="121"/>
      <c r="G987" s="115"/>
    </row>
    <row r="988" spans="1:7" x14ac:dyDescent="0.25">
      <c r="A988" s="77"/>
      <c r="B988" s="88" t="s">
        <v>656</v>
      </c>
      <c r="C988" s="55"/>
      <c r="D988" s="70"/>
      <c r="E988" s="93"/>
      <c r="F988" s="93"/>
      <c r="G988" s="53"/>
    </row>
    <row r="989" spans="1:7" x14ac:dyDescent="0.25">
      <c r="A989" s="77" t="s">
        <v>1391</v>
      </c>
      <c r="B989" s="88" t="s">
        <v>657</v>
      </c>
      <c r="C989" s="55">
        <v>4</v>
      </c>
      <c r="D989" s="70" t="s">
        <v>3</v>
      </c>
      <c r="E989" s="93">
        <f>(201.22*1.3*0.86)*1.44</f>
        <v>323.94810239999998</v>
      </c>
      <c r="F989" s="93">
        <f>C989*E989</f>
        <v>1295.7924095999999</v>
      </c>
      <c r="G989" s="53"/>
    </row>
    <row r="990" spans="1:7" x14ac:dyDescent="0.25">
      <c r="A990" s="77" t="s">
        <v>1392</v>
      </c>
      <c r="B990" s="88" t="s">
        <v>658</v>
      </c>
      <c r="C990" s="55">
        <v>2</v>
      </c>
      <c r="D990" s="70" t="s">
        <v>3</v>
      </c>
      <c r="E990" s="93">
        <f>(248.97*1.3*0.86)*1.44</f>
        <v>400.82178239999996</v>
      </c>
      <c r="F990" s="93">
        <f>C990*E990</f>
        <v>801.64356479999992</v>
      </c>
      <c r="G990" s="53"/>
    </row>
    <row r="991" spans="1:7" x14ac:dyDescent="0.25">
      <c r="A991" s="77"/>
      <c r="B991" s="53"/>
      <c r="C991" s="55"/>
      <c r="D991" s="70"/>
      <c r="E991" s="93"/>
      <c r="F991" s="93"/>
      <c r="G991" s="53"/>
    </row>
    <row r="992" spans="1:7" x14ac:dyDescent="0.25">
      <c r="A992" s="77"/>
      <c r="B992" s="53"/>
      <c r="C992" s="55"/>
      <c r="D992" s="70"/>
      <c r="E992" s="93"/>
      <c r="F992" s="93"/>
      <c r="G992" s="53"/>
    </row>
    <row r="993" spans="1:7" s="3" customFormat="1" x14ac:dyDescent="0.25">
      <c r="A993" s="85"/>
      <c r="B993" s="11" t="s">
        <v>7</v>
      </c>
      <c r="C993" s="12"/>
      <c r="D993" s="38"/>
      <c r="E993" s="12"/>
      <c r="F993" s="33">
        <f>SUM(F987:F992)</f>
        <v>2097.4359743999998</v>
      </c>
      <c r="G993" s="37"/>
    </row>
    <row r="994" spans="1:7" x14ac:dyDescent="0.25">
      <c r="E994" s="98"/>
      <c r="F994" s="98"/>
    </row>
    <row r="995" spans="1:7" s="65" customFormat="1" ht="13.8" x14ac:dyDescent="0.25">
      <c r="A995" s="78">
        <v>44.8</v>
      </c>
      <c r="B995" s="66" t="s">
        <v>659</v>
      </c>
      <c r="C995" s="68" t="s">
        <v>0</v>
      </c>
      <c r="D995" s="68" t="s">
        <v>5</v>
      </c>
      <c r="E995" s="68" t="s">
        <v>10</v>
      </c>
      <c r="F995" s="69" t="s">
        <v>6</v>
      </c>
      <c r="G995" s="66"/>
    </row>
    <row r="996" spans="1:7" s="3" customFormat="1" ht="52.8" x14ac:dyDescent="0.25">
      <c r="A996" s="79" t="s">
        <v>1393</v>
      </c>
      <c r="B996" s="87" t="s">
        <v>660</v>
      </c>
      <c r="C996" s="116"/>
      <c r="D996" s="117"/>
      <c r="E996" s="121"/>
      <c r="F996" s="121"/>
      <c r="G996" s="115"/>
    </row>
    <row r="997" spans="1:7" x14ac:dyDescent="0.25">
      <c r="A997" s="77"/>
      <c r="B997" s="88" t="s">
        <v>661</v>
      </c>
      <c r="C997" s="55"/>
      <c r="D997" s="70"/>
      <c r="E997" s="93"/>
      <c r="F997" s="93"/>
      <c r="G997" s="53"/>
    </row>
    <row r="998" spans="1:7" x14ac:dyDescent="0.25">
      <c r="A998" s="77" t="s">
        <v>1394</v>
      </c>
      <c r="B998" s="88" t="s">
        <v>662</v>
      </c>
      <c r="C998" s="55">
        <v>6</v>
      </c>
      <c r="D998" s="70" t="s">
        <v>3</v>
      </c>
      <c r="E998" s="93">
        <f>(108.47*1.3*0.86)*1.44</f>
        <v>174.62802239999999</v>
      </c>
      <c r="F998" s="93">
        <f>C998*E998</f>
        <v>1047.7681344</v>
      </c>
      <c r="G998" s="53"/>
    </row>
    <row r="999" spans="1:7" x14ac:dyDescent="0.25">
      <c r="A999" s="77" t="s">
        <v>1395</v>
      </c>
      <c r="B999" s="88" t="s">
        <v>663</v>
      </c>
      <c r="C999" s="55">
        <v>1</v>
      </c>
      <c r="D999" s="70" t="s">
        <v>3</v>
      </c>
      <c r="E999" s="93">
        <f>(571.18*1.3*0.86)*1.44</f>
        <v>919.55410559999996</v>
      </c>
      <c r="F999" s="93">
        <f>C999*E999</f>
        <v>919.55410559999996</v>
      </c>
      <c r="G999" s="53"/>
    </row>
    <row r="1000" spans="1:7" x14ac:dyDescent="0.25">
      <c r="A1000" s="77" t="s">
        <v>1396</v>
      </c>
      <c r="B1000" s="88" t="s">
        <v>841</v>
      </c>
      <c r="C1000" s="55">
        <v>4</v>
      </c>
      <c r="D1000" s="70" t="s">
        <v>3</v>
      </c>
      <c r="E1000" s="93">
        <f>(186.8*1.3*0.86)*1.44</f>
        <v>300.73305600000003</v>
      </c>
      <c r="F1000" s="93">
        <f>C1000*E1000</f>
        <v>1202.9322240000001</v>
      </c>
      <c r="G1000" s="53"/>
    </row>
    <row r="1001" spans="1:7" x14ac:dyDescent="0.25">
      <c r="A1001" s="77"/>
      <c r="B1001" s="53"/>
      <c r="C1001" s="55"/>
      <c r="D1001" s="70"/>
      <c r="E1001" s="93"/>
      <c r="F1001" s="93"/>
      <c r="G1001" s="53"/>
    </row>
    <row r="1002" spans="1:7" x14ac:dyDescent="0.25">
      <c r="A1002" s="77"/>
      <c r="B1002" s="88" t="s">
        <v>664</v>
      </c>
      <c r="C1002" s="55"/>
      <c r="D1002" s="70"/>
      <c r="E1002" s="93"/>
      <c r="F1002" s="93"/>
      <c r="G1002" s="53"/>
    </row>
    <row r="1003" spans="1:7" x14ac:dyDescent="0.25">
      <c r="A1003" s="77" t="s">
        <v>1397</v>
      </c>
      <c r="B1003" s="88" t="s">
        <v>842</v>
      </c>
      <c r="C1003" s="55">
        <v>13</v>
      </c>
      <c r="D1003" s="70" t="s">
        <v>3</v>
      </c>
      <c r="E1003" s="93">
        <f>(1383.93*1.3*0.86)*1.44</f>
        <v>2228.0165855999999</v>
      </c>
      <c r="F1003" s="93">
        <f>C1003*E1003</f>
        <v>28964.215612799999</v>
      </c>
      <c r="G1003" s="53"/>
    </row>
    <row r="1004" spans="1:7" x14ac:dyDescent="0.25">
      <c r="A1004" s="77" t="s">
        <v>1398</v>
      </c>
      <c r="B1004" s="88" t="s">
        <v>843</v>
      </c>
      <c r="C1004" s="55">
        <v>6</v>
      </c>
      <c r="D1004" s="70" t="s">
        <v>3</v>
      </c>
      <c r="E1004" s="93">
        <f>(628.75*1.3*0.86)*1.44</f>
        <v>1012.2371999999999</v>
      </c>
      <c r="F1004" s="93">
        <f>C1004*E1004</f>
        <v>6073.4231999999993</v>
      </c>
      <c r="G1004" s="53"/>
    </row>
    <row r="1005" spans="1:7" x14ac:dyDescent="0.25">
      <c r="A1005" s="77" t="s">
        <v>1399</v>
      </c>
      <c r="B1005" s="88" t="s">
        <v>665</v>
      </c>
      <c r="C1005" s="55">
        <v>1</v>
      </c>
      <c r="D1005" s="70" t="s">
        <v>3</v>
      </c>
      <c r="E1005" s="93">
        <f>(4821.56*1.3*0.86)*1.44</f>
        <v>7762.3258752000002</v>
      </c>
      <c r="F1005" s="93">
        <f>C1005*E1005</f>
        <v>7762.3258752000002</v>
      </c>
      <c r="G1005" s="53"/>
    </row>
    <row r="1006" spans="1:7" x14ac:dyDescent="0.25">
      <c r="A1006" s="77" t="s">
        <v>1400</v>
      </c>
      <c r="B1006" s="88" t="s">
        <v>666</v>
      </c>
      <c r="C1006" s="55">
        <v>4</v>
      </c>
      <c r="D1006" s="70" t="s">
        <v>3</v>
      </c>
      <c r="E1006" s="93">
        <f>(314.37*1.3*0.86)*1.44</f>
        <v>506.11055040000002</v>
      </c>
      <c r="F1006" s="93">
        <f>C1006*E1006</f>
        <v>2024.4422016000001</v>
      </c>
      <c r="G1006" s="53"/>
    </row>
    <row r="1007" spans="1:7" x14ac:dyDescent="0.25">
      <c r="A1007" s="77"/>
      <c r="B1007" s="53"/>
      <c r="C1007" s="55"/>
      <c r="D1007" s="70"/>
      <c r="E1007" s="93"/>
      <c r="F1007" s="93"/>
      <c r="G1007" s="53"/>
    </row>
    <row r="1008" spans="1:7" x14ac:dyDescent="0.25">
      <c r="A1008" s="77"/>
      <c r="B1008" s="53"/>
      <c r="C1008" s="55"/>
      <c r="D1008" s="70"/>
      <c r="E1008" s="93"/>
      <c r="F1008" s="93"/>
      <c r="G1008" s="53"/>
    </row>
    <row r="1009" spans="1:7" s="3" customFormat="1" x14ac:dyDescent="0.25">
      <c r="A1009" s="85"/>
      <c r="B1009" s="11" t="s">
        <v>7</v>
      </c>
      <c r="C1009" s="12"/>
      <c r="D1009" s="38"/>
      <c r="E1009" s="12"/>
      <c r="F1009" s="33">
        <f>SUM(F996:F1008)</f>
        <v>47994.661353600008</v>
      </c>
      <c r="G1009" s="37"/>
    </row>
    <row r="1010" spans="1:7" x14ac:dyDescent="0.25">
      <c r="E1010" s="98"/>
      <c r="F1010" s="98"/>
    </row>
    <row r="1011" spans="1:7" s="65" customFormat="1" ht="13.8" x14ac:dyDescent="0.25">
      <c r="A1011" s="78">
        <v>44.9</v>
      </c>
      <c r="B1011" s="66" t="s">
        <v>667</v>
      </c>
      <c r="C1011" s="68" t="s">
        <v>0</v>
      </c>
      <c r="D1011" s="68" t="s">
        <v>5</v>
      </c>
      <c r="E1011" s="68" t="s">
        <v>10</v>
      </c>
      <c r="F1011" s="69" t="s">
        <v>6</v>
      </c>
      <c r="G1011" s="66"/>
    </row>
    <row r="1012" spans="1:7" x14ac:dyDescent="0.25">
      <c r="A1012" s="79" t="s">
        <v>1401</v>
      </c>
      <c r="B1012" s="3" t="s">
        <v>668</v>
      </c>
      <c r="C1012" s="55"/>
      <c r="D1012" s="70"/>
      <c r="E1012" s="93"/>
      <c r="F1012" s="93"/>
      <c r="G1012" s="53"/>
    </row>
    <row r="1013" spans="1:7" x14ac:dyDescent="0.25">
      <c r="A1013" s="77"/>
      <c r="B1013" s="88" t="s">
        <v>669</v>
      </c>
      <c r="C1013" s="55"/>
      <c r="D1013" s="70"/>
      <c r="E1013" s="93"/>
      <c r="F1013" s="93"/>
      <c r="G1013" s="53"/>
    </row>
    <row r="1014" spans="1:7" x14ac:dyDescent="0.25">
      <c r="A1014" s="77"/>
      <c r="B1014" s="88" t="s">
        <v>670</v>
      </c>
      <c r="C1014" s="55"/>
      <c r="D1014" s="70"/>
      <c r="E1014" s="93"/>
      <c r="F1014" s="93"/>
      <c r="G1014" s="53"/>
    </row>
    <row r="1015" spans="1:7" x14ac:dyDescent="0.25">
      <c r="A1015" s="77" t="s">
        <v>1402</v>
      </c>
      <c r="B1015" s="88" t="s">
        <v>844</v>
      </c>
      <c r="C1015" s="55">
        <v>16</v>
      </c>
      <c r="D1015" s="70" t="s">
        <v>3</v>
      </c>
      <c r="E1015" s="93">
        <f>(75.28*1.3*0.86)*1.44</f>
        <v>121.19477760000001</v>
      </c>
      <c r="F1015" s="93">
        <f>C1015*E1015</f>
        <v>1939.1164416000001</v>
      </c>
      <c r="G1015" s="53"/>
    </row>
    <row r="1016" spans="1:7" x14ac:dyDescent="0.25">
      <c r="A1016" s="77"/>
      <c r="C1016" s="55"/>
      <c r="D1016" s="70"/>
      <c r="E1016" s="93"/>
      <c r="F1016" s="93"/>
      <c r="G1016" s="53"/>
    </row>
    <row r="1017" spans="1:7" x14ac:dyDescent="0.25">
      <c r="A1017" s="77"/>
      <c r="B1017" s="88" t="s">
        <v>671</v>
      </c>
      <c r="C1017" s="55"/>
      <c r="D1017" s="70"/>
      <c r="E1017" s="93"/>
      <c r="F1017" s="93"/>
      <c r="G1017" s="53"/>
    </row>
    <row r="1018" spans="1:7" x14ac:dyDescent="0.25">
      <c r="A1018" s="77" t="s">
        <v>1403</v>
      </c>
      <c r="B1018" s="88" t="s">
        <v>845</v>
      </c>
      <c r="C1018" s="55">
        <v>18</v>
      </c>
      <c r="D1018" s="70" t="s">
        <v>3</v>
      </c>
      <c r="E1018" s="93">
        <f>(50.33*1.3*0.86)*1.44</f>
        <v>81.027273600000001</v>
      </c>
      <c r="F1018" s="93">
        <f>C1018*E1018</f>
        <v>1458.4909247999999</v>
      </c>
      <c r="G1018" s="53"/>
    </row>
    <row r="1019" spans="1:7" x14ac:dyDescent="0.25">
      <c r="A1019" s="77"/>
      <c r="B1019" s="53"/>
      <c r="C1019" s="55"/>
      <c r="D1019" s="70"/>
      <c r="E1019" s="93"/>
      <c r="F1019" s="93"/>
      <c r="G1019" s="53"/>
    </row>
    <row r="1020" spans="1:7" x14ac:dyDescent="0.25">
      <c r="A1020" s="77"/>
      <c r="B1020" s="88" t="s">
        <v>672</v>
      </c>
      <c r="C1020" s="55"/>
      <c r="D1020" s="70"/>
      <c r="E1020" s="93"/>
      <c r="F1020" s="93"/>
      <c r="G1020" s="53"/>
    </row>
    <row r="1021" spans="1:7" x14ac:dyDescent="0.25">
      <c r="A1021" s="77" t="s">
        <v>1404</v>
      </c>
      <c r="B1021" s="88" t="s">
        <v>846</v>
      </c>
      <c r="C1021" s="55">
        <v>6</v>
      </c>
      <c r="D1021" s="70" t="s">
        <v>3</v>
      </c>
      <c r="E1021" s="93">
        <f>(142.47*1.3*0.86)*1.44</f>
        <v>229.36530240000002</v>
      </c>
      <c r="F1021" s="93">
        <f>C1021*E1021</f>
        <v>1376.1918144000001</v>
      </c>
      <c r="G1021" s="53" t="s">
        <v>1283</v>
      </c>
    </row>
    <row r="1022" spans="1:7" x14ac:dyDescent="0.25">
      <c r="A1022" s="77"/>
      <c r="B1022" s="53"/>
      <c r="C1022" s="55"/>
      <c r="D1022" s="70"/>
      <c r="E1022" s="93"/>
      <c r="F1022" s="93"/>
      <c r="G1022" s="53"/>
    </row>
    <row r="1023" spans="1:7" x14ac:dyDescent="0.25">
      <c r="A1023" s="77"/>
      <c r="B1023" s="53"/>
      <c r="C1023" s="55"/>
      <c r="D1023" s="70"/>
      <c r="E1023" s="93"/>
      <c r="F1023" s="93"/>
      <c r="G1023" s="53"/>
    </row>
    <row r="1024" spans="1:7" s="3" customFormat="1" x14ac:dyDescent="0.25">
      <c r="A1024" s="85"/>
      <c r="B1024" s="11" t="s">
        <v>7</v>
      </c>
      <c r="C1024" s="12"/>
      <c r="D1024" s="38"/>
      <c r="E1024" s="12"/>
      <c r="F1024" s="33">
        <f>SUM(F1012:F1023)</f>
        <v>4773.7991808000006</v>
      </c>
      <c r="G1024" s="37"/>
    </row>
    <row r="1025" spans="1:7" x14ac:dyDescent="0.25">
      <c r="E1025" s="98"/>
      <c r="F1025" s="98"/>
    </row>
    <row r="1026" spans="1:7" s="3" customFormat="1" x14ac:dyDescent="0.25">
      <c r="A1026" s="170">
        <v>44.1</v>
      </c>
      <c r="B1026" s="146" t="s">
        <v>673</v>
      </c>
      <c r="C1026" s="147" t="s">
        <v>0</v>
      </c>
      <c r="D1026" s="147" t="s">
        <v>5</v>
      </c>
      <c r="E1026" s="147" t="s">
        <v>10</v>
      </c>
      <c r="F1026" s="148" t="s">
        <v>6</v>
      </c>
      <c r="G1026" s="146"/>
    </row>
    <row r="1027" spans="1:7" s="3" customFormat="1" ht="26.4" x14ac:dyDescent="0.25">
      <c r="A1027" s="79" t="s">
        <v>1405</v>
      </c>
      <c r="B1027" s="87" t="s">
        <v>674</v>
      </c>
      <c r="C1027" s="116"/>
      <c r="D1027" s="117"/>
      <c r="E1027" s="121"/>
      <c r="F1027" s="121"/>
      <c r="G1027" s="115"/>
    </row>
    <row r="1028" spans="1:7" x14ac:dyDescent="0.25">
      <c r="A1028" s="77" t="s">
        <v>1406</v>
      </c>
      <c r="B1028" s="88" t="s">
        <v>847</v>
      </c>
      <c r="C1028" s="55">
        <v>1</v>
      </c>
      <c r="D1028" s="70" t="s">
        <v>3</v>
      </c>
      <c r="E1028" s="93">
        <f>(1372.79*1.3*0.86)*1.44</f>
        <v>2210.0820767999999</v>
      </c>
      <c r="F1028" s="93">
        <f>C1028*E1028</f>
        <v>2210.0820767999999</v>
      </c>
      <c r="G1028" s="53"/>
    </row>
    <row r="1029" spans="1:7" x14ac:dyDescent="0.25">
      <c r="A1029" s="77"/>
      <c r="B1029" s="53"/>
      <c r="C1029" s="55"/>
      <c r="D1029" s="70"/>
      <c r="E1029" s="93"/>
      <c r="F1029" s="93"/>
      <c r="G1029" s="53"/>
    </row>
    <row r="1030" spans="1:7" x14ac:dyDescent="0.25">
      <c r="A1030" s="77"/>
      <c r="B1030" s="53"/>
      <c r="C1030" s="55"/>
      <c r="D1030" s="70"/>
      <c r="E1030" s="93"/>
      <c r="F1030" s="93"/>
      <c r="G1030" s="53"/>
    </row>
    <row r="1031" spans="1:7" s="3" customFormat="1" x14ac:dyDescent="0.25">
      <c r="A1031" s="85"/>
      <c r="B1031" s="11" t="s">
        <v>7</v>
      </c>
      <c r="C1031" s="12"/>
      <c r="D1031" s="38"/>
      <c r="E1031" s="12"/>
      <c r="F1031" s="33">
        <f>SUM(F1027:F1030)</f>
        <v>2210.0820767999999</v>
      </c>
      <c r="G1031" s="37"/>
    </row>
    <row r="1032" spans="1:7" s="3" customFormat="1" ht="13.8" thickBot="1" x14ac:dyDescent="0.3">
      <c r="A1032" s="107"/>
      <c r="B1032" s="39"/>
      <c r="C1032" s="108"/>
      <c r="D1032" s="109"/>
      <c r="E1032" s="108"/>
      <c r="F1032" s="110"/>
      <c r="G1032" s="111"/>
    </row>
    <row r="1033" spans="1:7" s="3" customFormat="1" ht="13.8" thickBot="1" x14ac:dyDescent="0.3">
      <c r="A1033" s="150"/>
      <c r="B1033" s="151" t="s">
        <v>759</v>
      </c>
      <c r="C1033" s="152"/>
      <c r="D1033" s="153"/>
      <c r="E1033" s="152"/>
      <c r="F1033" s="154">
        <f>F916+F930+F940+F963+F972+F984+F993+F1009+F1024+F1031</f>
        <v>521647.06452393596</v>
      </c>
      <c r="G1033" s="155"/>
    </row>
    <row r="1034" spans="1:7" x14ac:dyDescent="0.25">
      <c r="A1034" s="129"/>
      <c r="F1034" s="81"/>
      <c r="G1034" s="130"/>
    </row>
  </sheetData>
  <mergeCells count="1">
    <mergeCell ref="A4:B4"/>
  </mergeCells>
  <phoneticPr fontId="17" type="noConversion"/>
  <pageMargins left="0.7" right="0.7" top="0.75" bottom="0.75" header="0.3" footer="0.3"/>
  <pageSetup paperSize="9" scale="48"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99A00-8166-4F4B-8DFC-0C1FACF51719}">
  <dimension ref="A1:D294"/>
  <sheetViews>
    <sheetView workbookViewId="0">
      <selection activeCell="L17" sqref="L17"/>
    </sheetView>
  </sheetViews>
  <sheetFormatPr defaultRowHeight="14.4" x14ac:dyDescent="0.3"/>
  <cols>
    <col min="1" max="1" width="32.88671875" bestFit="1" customWidth="1"/>
  </cols>
  <sheetData>
    <row r="1" spans="1:4" s="175" customFormat="1" x14ac:dyDescent="0.3">
      <c r="A1" s="175" t="s">
        <v>849</v>
      </c>
    </row>
    <row r="2" spans="1:4" s="175" customFormat="1" x14ac:dyDescent="0.3">
      <c r="A2" s="175" t="s">
        <v>850</v>
      </c>
      <c r="B2" s="175" t="s">
        <v>851</v>
      </c>
      <c r="C2" s="175" t="s">
        <v>852</v>
      </c>
      <c r="D2" s="175" t="s">
        <v>853</v>
      </c>
    </row>
    <row r="4" spans="1:4" x14ac:dyDescent="0.3">
      <c r="A4" s="175" t="s">
        <v>474</v>
      </c>
    </row>
    <row r="5" spans="1:4" x14ac:dyDescent="0.3">
      <c r="A5" t="s">
        <v>474</v>
      </c>
      <c r="B5">
        <v>3900</v>
      </c>
      <c r="C5">
        <v>1</v>
      </c>
      <c r="D5" t="s">
        <v>854</v>
      </c>
    </row>
    <row r="6" spans="1:4" x14ac:dyDescent="0.3">
      <c r="A6" t="s">
        <v>474</v>
      </c>
      <c r="B6">
        <v>3900</v>
      </c>
      <c r="C6">
        <v>1</v>
      </c>
      <c r="D6" t="s">
        <v>854</v>
      </c>
    </row>
    <row r="7" spans="1:4" x14ac:dyDescent="0.3">
      <c r="A7" t="s">
        <v>474</v>
      </c>
      <c r="B7">
        <v>3900</v>
      </c>
      <c r="C7">
        <v>1</v>
      </c>
      <c r="D7" t="s">
        <v>854</v>
      </c>
    </row>
    <row r="8" spans="1:4" x14ac:dyDescent="0.3">
      <c r="A8" t="s">
        <v>474</v>
      </c>
      <c r="B8">
        <v>3900</v>
      </c>
      <c r="C8">
        <v>1</v>
      </c>
      <c r="D8" t="s">
        <v>854</v>
      </c>
    </row>
    <row r="9" spans="1:4" x14ac:dyDescent="0.3">
      <c r="A9" t="s">
        <v>474</v>
      </c>
      <c r="B9">
        <v>3900</v>
      </c>
      <c r="C9">
        <v>1</v>
      </c>
      <c r="D9" t="s">
        <v>854</v>
      </c>
    </row>
    <row r="10" spans="1:4" x14ac:dyDescent="0.3">
      <c r="A10" t="s">
        <v>474</v>
      </c>
      <c r="B10">
        <v>3900</v>
      </c>
      <c r="C10">
        <v>1</v>
      </c>
      <c r="D10" t="s">
        <v>854</v>
      </c>
    </row>
    <row r="11" spans="1:4" x14ac:dyDescent="0.3">
      <c r="A11" t="s">
        <v>474</v>
      </c>
      <c r="B11">
        <v>3900</v>
      </c>
      <c r="C11">
        <v>1</v>
      </c>
      <c r="D11" t="s">
        <v>854</v>
      </c>
    </row>
    <row r="12" spans="1:4" x14ac:dyDescent="0.3">
      <c r="A12" t="s">
        <v>474</v>
      </c>
      <c r="B12">
        <v>3900</v>
      </c>
      <c r="C12">
        <v>1</v>
      </c>
      <c r="D12" t="s">
        <v>854</v>
      </c>
    </row>
    <row r="13" spans="1:4" x14ac:dyDescent="0.3">
      <c r="A13" t="s">
        <v>474</v>
      </c>
      <c r="B13">
        <v>3900</v>
      </c>
      <c r="C13">
        <v>1</v>
      </c>
      <c r="D13" t="s">
        <v>854</v>
      </c>
    </row>
    <row r="14" spans="1:4" x14ac:dyDescent="0.3">
      <c r="A14" t="s">
        <v>474</v>
      </c>
      <c r="B14">
        <v>3900</v>
      </c>
      <c r="C14">
        <v>1</v>
      </c>
      <c r="D14" t="s">
        <v>854</v>
      </c>
    </row>
    <row r="15" spans="1:4" x14ac:dyDescent="0.3">
      <c r="A15" t="s">
        <v>474</v>
      </c>
      <c r="B15">
        <v>3900</v>
      </c>
      <c r="C15">
        <v>1</v>
      </c>
      <c r="D15" t="s">
        <v>854</v>
      </c>
    </row>
    <row r="16" spans="1:4" x14ac:dyDescent="0.3">
      <c r="A16" t="s">
        <v>474</v>
      </c>
      <c r="B16">
        <v>3900</v>
      </c>
      <c r="C16">
        <v>1</v>
      </c>
      <c r="D16" t="s">
        <v>854</v>
      </c>
    </row>
    <row r="17" spans="1:4" x14ac:dyDescent="0.3">
      <c r="A17" t="s">
        <v>474</v>
      </c>
      <c r="B17">
        <v>3900</v>
      </c>
      <c r="C17">
        <v>1</v>
      </c>
      <c r="D17" t="s">
        <v>854</v>
      </c>
    </row>
    <row r="18" spans="1:4" x14ac:dyDescent="0.3">
      <c r="A18" t="s">
        <v>474</v>
      </c>
      <c r="B18">
        <v>3900</v>
      </c>
      <c r="C18">
        <v>1</v>
      </c>
      <c r="D18" t="s">
        <v>854</v>
      </c>
    </row>
    <row r="19" spans="1:4" x14ac:dyDescent="0.3">
      <c r="A19" t="s">
        <v>474</v>
      </c>
      <c r="B19">
        <v>3900</v>
      </c>
      <c r="C19">
        <v>1</v>
      </c>
      <c r="D19" t="s">
        <v>854</v>
      </c>
    </row>
    <row r="20" spans="1:4" x14ac:dyDescent="0.3">
      <c r="A20" t="s">
        <v>474</v>
      </c>
      <c r="B20">
        <v>3900</v>
      </c>
      <c r="C20">
        <v>1</v>
      </c>
      <c r="D20" t="s">
        <v>854</v>
      </c>
    </row>
    <row r="21" spans="1:4" x14ac:dyDescent="0.3">
      <c r="A21" t="s">
        <v>474</v>
      </c>
      <c r="B21">
        <v>3900</v>
      </c>
      <c r="C21">
        <v>1</v>
      </c>
      <c r="D21" t="s">
        <v>854</v>
      </c>
    </row>
    <row r="22" spans="1:4" x14ac:dyDescent="0.3">
      <c r="A22" t="s">
        <v>474</v>
      </c>
      <c r="B22">
        <v>3900</v>
      </c>
      <c r="C22">
        <v>1</v>
      </c>
      <c r="D22" t="s">
        <v>854</v>
      </c>
    </row>
    <row r="23" spans="1:4" x14ac:dyDescent="0.3">
      <c r="A23" t="s">
        <v>474</v>
      </c>
      <c r="B23">
        <v>3900</v>
      </c>
      <c r="C23">
        <v>1</v>
      </c>
      <c r="D23" t="s">
        <v>854</v>
      </c>
    </row>
    <row r="24" spans="1:4" x14ac:dyDescent="0.3">
      <c r="A24" t="s">
        <v>474</v>
      </c>
      <c r="B24">
        <v>3900</v>
      </c>
      <c r="C24">
        <v>1</v>
      </c>
      <c r="D24" t="s">
        <v>854</v>
      </c>
    </row>
    <row r="25" spans="1:4" x14ac:dyDescent="0.3">
      <c r="A25" t="s">
        <v>474</v>
      </c>
      <c r="B25">
        <v>3900</v>
      </c>
      <c r="C25">
        <v>1</v>
      </c>
      <c r="D25" t="s">
        <v>854</v>
      </c>
    </row>
    <row r="26" spans="1:4" x14ac:dyDescent="0.3">
      <c r="A26" t="s">
        <v>474</v>
      </c>
      <c r="B26">
        <v>3900</v>
      </c>
      <c r="C26">
        <v>1</v>
      </c>
      <c r="D26" t="s">
        <v>854</v>
      </c>
    </row>
    <row r="27" spans="1:4" x14ac:dyDescent="0.3">
      <c r="A27" t="s">
        <v>474</v>
      </c>
      <c r="B27">
        <v>3900</v>
      </c>
      <c r="C27">
        <v>1</v>
      </c>
      <c r="D27" t="s">
        <v>854</v>
      </c>
    </row>
    <row r="28" spans="1:4" x14ac:dyDescent="0.3">
      <c r="A28" t="s">
        <v>474</v>
      </c>
      <c r="B28">
        <v>3900</v>
      </c>
      <c r="C28">
        <v>1</v>
      </c>
      <c r="D28" t="s">
        <v>854</v>
      </c>
    </row>
    <row r="29" spans="1:4" x14ac:dyDescent="0.3">
      <c r="A29" t="s">
        <v>474</v>
      </c>
      <c r="B29">
        <v>3900</v>
      </c>
      <c r="C29">
        <v>1</v>
      </c>
      <c r="D29" t="s">
        <v>854</v>
      </c>
    </row>
    <row r="30" spans="1:4" x14ac:dyDescent="0.3">
      <c r="A30" t="s">
        <v>474</v>
      </c>
      <c r="B30">
        <v>3900</v>
      </c>
      <c r="C30">
        <v>1</v>
      </c>
      <c r="D30" t="s">
        <v>854</v>
      </c>
    </row>
    <row r="31" spans="1:4" x14ac:dyDescent="0.3">
      <c r="A31" t="s">
        <v>474</v>
      </c>
      <c r="B31">
        <v>3900</v>
      </c>
      <c r="C31">
        <v>1</v>
      </c>
      <c r="D31" t="s">
        <v>854</v>
      </c>
    </row>
    <row r="32" spans="1:4" x14ac:dyDescent="0.3">
      <c r="A32" t="s">
        <v>474</v>
      </c>
      <c r="B32">
        <v>3900</v>
      </c>
      <c r="C32">
        <v>1</v>
      </c>
      <c r="D32" t="s">
        <v>854</v>
      </c>
    </row>
    <row r="33" spans="1:4" x14ac:dyDescent="0.3">
      <c r="A33" t="s">
        <v>474</v>
      </c>
      <c r="B33">
        <v>3900</v>
      </c>
      <c r="C33">
        <v>1</v>
      </c>
      <c r="D33" t="s">
        <v>854</v>
      </c>
    </row>
    <row r="34" spans="1:4" x14ac:dyDescent="0.3">
      <c r="A34" t="s">
        <v>474</v>
      </c>
      <c r="B34">
        <v>3900</v>
      </c>
      <c r="C34">
        <v>1</v>
      </c>
      <c r="D34" t="s">
        <v>854</v>
      </c>
    </row>
    <row r="35" spans="1:4" x14ac:dyDescent="0.3">
      <c r="A35" t="s">
        <v>474</v>
      </c>
      <c r="B35">
        <v>3900</v>
      </c>
      <c r="C35">
        <v>1</v>
      </c>
      <c r="D35" t="s">
        <v>854</v>
      </c>
    </row>
    <row r="36" spans="1:4" x14ac:dyDescent="0.3">
      <c r="A36" t="s">
        <v>474</v>
      </c>
      <c r="B36">
        <v>3900</v>
      </c>
      <c r="C36">
        <v>1</v>
      </c>
      <c r="D36" t="s">
        <v>854</v>
      </c>
    </row>
    <row r="37" spans="1:4" x14ac:dyDescent="0.3">
      <c r="A37" t="s">
        <v>474</v>
      </c>
      <c r="B37">
        <v>3900</v>
      </c>
      <c r="C37">
        <v>1</v>
      </c>
      <c r="D37" t="s">
        <v>854</v>
      </c>
    </row>
    <row r="38" spans="1:4" x14ac:dyDescent="0.3">
      <c r="A38" t="s">
        <v>474</v>
      </c>
      <c r="B38">
        <v>3900</v>
      </c>
      <c r="C38">
        <v>1</v>
      </c>
      <c r="D38" t="s">
        <v>854</v>
      </c>
    </row>
    <row r="39" spans="1:4" x14ac:dyDescent="0.3">
      <c r="A39" t="s">
        <v>474</v>
      </c>
      <c r="B39">
        <v>3900</v>
      </c>
      <c r="C39">
        <v>1</v>
      </c>
      <c r="D39" t="s">
        <v>854</v>
      </c>
    </row>
    <row r="40" spans="1:4" x14ac:dyDescent="0.3">
      <c r="A40" t="s">
        <v>474</v>
      </c>
      <c r="B40">
        <v>3900</v>
      </c>
      <c r="C40">
        <v>1</v>
      </c>
      <c r="D40" t="s">
        <v>854</v>
      </c>
    </row>
    <row r="41" spans="1:4" x14ac:dyDescent="0.3">
      <c r="A41" t="s">
        <v>474</v>
      </c>
      <c r="B41">
        <v>3900</v>
      </c>
      <c r="C41">
        <v>1</v>
      </c>
      <c r="D41" t="s">
        <v>854</v>
      </c>
    </row>
    <row r="42" spans="1:4" x14ac:dyDescent="0.3">
      <c r="A42" t="s">
        <v>474</v>
      </c>
      <c r="B42">
        <v>3900</v>
      </c>
      <c r="C42">
        <v>1</v>
      </c>
      <c r="D42" t="s">
        <v>854</v>
      </c>
    </row>
    <row r="43" spans="1:4" x14ac:dyDescent="0.3">
      <c r="A43" t="s">
        <v>474</v>
      </c>
      <c r="B43">
        <v>3900</v>
      </c>
      <c r="C43">
        <v>1</v>
      </c>
      <c r="D43" t="s">
        <v>854</v>
      </c>
    </row>
    <row r="44" spans="1:4" x14ac:dyDescent="0.3">
      <c r="A44" t="s">
        <v>474</v>
      </c>
      <c r="B44">
        <v>3900</v>
      </c>
      <c r="C44">
        <v>1</v>
      </c>
      <c r="D44" t="s">
        <v>854</v>
      </c>
    </row>
    <row r="45" spans="1:4" x14ac:dyDescent="0.3">
      <c r="A45" t="s">
        <v>474</v>
      </c>
      <c r="B45">
        <v>3900</v>
      </c>
      <c r="C45">
        <v>1</v>
      </c>
      <c r="D45" t="s">
        <v>854</v>
      </c>
    </row>
    <row r="46" spans="1:4" x14ac:dyDescent="0.3">
      <c r="A46" t="s">
        <v>474</v>
      </c>
      <c r="B46">
        <v>3900</v>
      </c>
      <c r="C46">
        <v>1</v>
      </c>
      <c r="D46" t="s">
        <v>854</v>
      </c>
    </row>
    <row r="47" spans="1:4" x14ac:dyDescent="0.3">
      <c r="A47" t="s">
        <v>474</v>
      </c>
      <c r="B47">
        <v>3900</v>
      </c>
      <c r="C47">
        <v>1</v>
      </c>
      <c r="D47" t="s">
        <v>854</v>
      </c>
    </row>
    <row r="48" spans="1:4" x14ac:dyDescent="0.3">
      <c r="A48" t="s">
        <v>474</v>
      </c>
      <c r="B48">
        <v>3900</v>
      </c>
      <c r="C48">
        <v>1</v>
      </c>
      <c r="D48" t="s">
        <v>854</v>
      </c>
    </row>
    <row r="49" spans="1:4" x14ac:dyDescent="0.3">
      <c r="A49" t="s">
        <v>474</v>
      </c>
      <c r="B49">
        <v>3900</v>
      </c>
      <c r="C49">
        <v>1</v>
      </c>
      <c r="D49" t="s">
        <v>854</v>
      </c>
    </row>
    <row r="50" spans="1:4" x14ac:dyDescent="0.3">
      <c r="A50" t="s">
        <v>474</v>
      </c>
      <c r="B50">
        <v>3900</v>
      </c>
      <c r="C50">
        <v>1</v>
      </c>
      <c r="D50" t="s">
        <v>854</v>
      </c>
    </row>
    <row r="51" spans="1:4" x14ac:dyDescent="0.3">
      <c r="A51" t="s">
        <v>474</v>
      </c>
      <c r="B51">
        <v>3900</v>
      </c>
      <c r="C51">
        <v>1</v>
      </c>
      <c r="D51" t="s">
        <v>854</v>
      </c>
    </row>
    <row r="52" spans="1:4" x14ac:dyDescent="0.3">
      <c r="A52" t="s">
        <v>474</v>
      </c>
      <c r="B52">
        <v>3900</v>
      </c>
      <c r="C52">
        <v>1</v>
      </c>
      <c r="D52" t="s">
        <v>854</v>
      </c>
    </row>
    <row r="53" spans="1:4" x14ac:dyDescent="0.3">
      <c r="A53" t="s">
        <v>474</v>
      </c>
      <c r="B53">
        <v>3900</v>
      </c>
      <c r="C53">
        <v>1</v>
      </c>
      <c r="D53" t="s">
        <v>854</v>
      </c>
    </row>
    <row r="54" spans="1:4" x14ac:dyDescent="0.3">
      <c r="A54" t="s">
        <v>474</v>
      </c>
      <c r="B54">
        <v>3900</v>
      </c>
      <c r="C54">
        <v>1</v>
      </c>
      <c r="D54" t="s">
        <v>854</v>
      </c>
    </row>
    <row r="55" spans="1:4" x14ac:dyDescent="0.3">
      <c r="A55" t="s">
        <v>474</v>
      </c>
      <c r="B55">
        <v>3900</v>
      </c>
      <c r="C55">
        <v>1</v>
      </c>
      <c r="D55" t="s">
        <v>855</v>
      </c>
    </row>
    <row r="56" spans="1:4" x14ac:dyDescent="0.3">
      <c r="A56" t="s">
        <v>474</v>
      </c>
      <c r="B56">
        <v>3900</v>
      </c>
      <c r="C56">
        <v>1</v>
      </c>
      <c r="D56" t="s">
        <v>855</v>
      </c>
    </row>
    <row r="57" spans="1:4" x14ac:dyDescent="0.3">
      <c r="A57" t="s">
        <v>474</v>
      </c>
      <c r="B57">
        <v>3900</v>
      </c>
      <c r="C57">
        <v>1</v>
      </c>
      <c r="D57" t="s">
        <v>855</v>
      </c>
    </row>
    <row r="58" spans="1:4" x14ac:dyDescent="0.3">
      <c r="A58" t="s">
        <v>474</v>
      </c>
      <c r="B58">
        <v>3900</v>
      </c>
      <c r="C58">
        <v>1</v>
      </c>
      <c r="D58" t="s">
        <v>855</v>
      </c>
    </row>
    <row r="59" spans="1:4" x14ac:dyDescent="0.3">
      <c r="A59" t="s">
        <v>474</v>
      </c>
      <c r="B59">
        <v>3900</v>
      </c>
      <c r="C59">
        <v>1</v>
      </c>
      <c r="D59" t="s">
        <v>854</v>
      </c>
    </row>
    <row r="60" spans="1:4" x14ac:dyDescent="0.3">
      <c r="A60" t="s">
        <v>474</v>
      </c>
      <c r="B60">
        <v>3900</v>
      </c>
      <c r="C60">
        <v>1</v>
      </c>
      <c r="D60" t="s">
        <v>854</v>
      </c>
    </row>
    <row r="61" spans="1:4" x14ac:dyDescent="0.3">
      <c r="A61" t="s">
        <v>474</v>
      </c>
      <c r="B61">
        <v>3900</v>
      </c>
      <c r="C61">
        <v>1</v>
      </c>
      <c r="D61" t="s">
        <v>854</v>
      </c>
    </row>
    <row r="62" spans="1:4" x14ac:dyDescent="0.3">
      <c r="A62" t="s">
        <v>474</v>
      </c>
      <c r="B62">
        <v>3900</v>
      </c>
      <c r="C62">
        <v>1</v>
      </c>
      <c r="D62" t="s">
        <v>855</v>
      </c>
    </row>
    <row r="63" spans="1:4" x14ac:dyDescent="0.3">
      <c r="A63" t="s">
        <v>474</v>
      </c>
      <c r="B63">
        <v>3900</v>
      </c>
      <c r="C63">
        <v>1</v>
      </c>
      <c r="D63" t="s">
        <v>855</v>
      </c>
    </row>
    <row r="64" spans="1:4" x14ac:dyDescent="0.3">
      <c r="A64" t="s">
        <v>474</v>
      </c>
      <c r="B64">
        <v>3900</v>
      </c>
      <c r="C64">
        <v>1</v>
      </c>
      <c r="D64" t="s">
        <v>854</v>
      </c>
    </row>
    <row r="65" spans="1:4" x14ac:dyDescent="0.3">
      <c r="A65" t="s">
        <v>474</v>
      </c>
      <c r="B65">
        <v>3900</v>
      </c>
      <c r="C65">
        <v>1</v>
      </c>
      <c r="D65" t="s">
        <v>854</v>
      </c>
    </row>
    <row r="66" spans="1:4" x14ac:dyDescent="0.3">
      <c r="A66" t="s">
        <v>474</v>
      </c>
      <c r="B66">
        <v>3900</v>
      </c>
      <c r="C66">
        <v>1</v>
      </c>
      <c r="D66" t="s">
        <v>854</v>
      </c>
    </row>
    <row r="67" spans="1:4" x14ac:dyDescent="0.3">
      <c r="A67" t="s">
        <v>474</v>
      </c>
      <c r="B67">
        <v>3900</v>
      </c>
      <c r="C67">
        <v>1</v>
      </c>
      <c r="D67" t="s">
        <v>854</v>
      </c>
    </row>
    <row r="68" spans="1:4" x14ac:dyDescent="0.3">
      <c r="A68" t="s">
        <v>474</v>
      </c>
      <c r="B68">
        <v>3900</v>
      </c>
      <c r="C68">
        <v>1</v>
      </c>
      <c r="D68" t="s">
        <v>854</v>
      </c>
    </row>
    <row r="69" spans="1:4" x14ac:dyDescent="0.3">
      <c r="A69" t="s">
        <v>474</v>
      </c>
      <c r="B69">
        <v>3900</v>
      </c>
      <c r="C69">
        <v>1</v>
      </c>
      <c r="D69" t="s">
        <v>854</v>
      </c>
    </row>
    <row r="70" spans="1:4" x14ac:dyDescent="0.3">
      <c r="A70" t="s">
        <v>474</v>
      </c>
      <c r="B70">
        <v>3900</v>
      </c>
      <c r="C70">
        <v>1</v>
      </c>
      <c r="D70" t="s">
        <v>854</v>
      </c>
    </row>
    <row r="71" spans="1:4" x14ac:dyDescent="0.3">
      <c r="A71" t="s">
        <v>474</v>
      </c>
      <c r="B71">
        <v>3900</v>
      </c>
      <c r="C71">
        <v>1</v>
      </c>
      <c r="D71" t="s">
        <v>854</v>
      </c>
    </row>
    <row r="72" spans="1:4" x14ac:dyDescent="0.3">
      <c r="A72" t="s">
        <v>474</v>
      </c>
      <c r="B72">
        <v>3900</v>
      </c>
      <c r="C72">
        <v>1</v>
      </c>
      <c r="D72" t="s">
        <v>854</v>
      </c>
    </row>
    <row r="73" spans="1:4" x14ac:dyDescent="0.3">
      <c r="A73" t="s">
        <v>474</v>
      </c>
      <c r="B73">
        <v>3900</v>
      </c>
      <c r="C73">
        <v>1</v>
      </c>
      <c r="D73" t="s">
        <v>854</v>
      </c>
    </row>
    <row r="74" spans="1:4" x14ac:dyDescent="0.3">
      <c r="A74" t="s">
        <v>474</v>
      </c>
      <c r="B74">
        <v>3900</v>
      </c>
      <c r="C74">
        <v>1</v>
      </c>
      <c r="D74" t="s">
        <v>855</v>
      </c>
    </row>
    <row r="75" spans="1:4" x14ac:dyDescent="0.3">
      <c r="A75" t="s">
        <v>474</v>
      </c>
      <c r="B75">
        <v>3900</v>
      </c>
      <c r="C75">
        <v>1</v>
      </c>
      <c r="D75" t="s">
        <v>855</v>
      </c>
    </row>
    <row r="76" spans="1:4" x14ac:dyDescent="0.3">
      <c r="A76" t="s">
        <v>474</v>
      </c>
      <c r="B76">
        <v>3900</v>
      </c>
      <c r="C76">
        <v>1</v>
      </c>
      <c r="D76" t="s">
        <v>854</v>
      </c>
    </row>
    <row r="77" spans="1:4" x14ac:dyDescent="0.3">
      <c r="A77" t="s">
        <v>474</v>
      </c>
      <c r="B77">
        <v>3900</v>
      </c>
      <c r="C77">
        <v>1</v>
      </c>
      <c r="D77" t="s">
        <v>854</v>
      </c>
    </row>
    <row r="78" spans="1:4" x14ac:dyDescent="0.3">
      <c r="A78" t="s">
        <v>474</v>
      </c>
      <c r="B78">
        <v>3900</v>
      </c>
      <c r="C78">
        <v>1</v>
      </c>
      <c r="D78" t="s">
        <v>855</v>
      </c>
    </row>
    <row r="79" spans="1:4" x14ac:dyDescent="0.3">
      <c r="A79" t="s">
        <v>474</v>
      </c>
      <c r="B79">
        <v>3900</v>
      </c>
      <c r="C79">
        <v>1</v>
      </c>
      <c r="D79" t="s">
        <v>855</v>
      </c>
    </row>
    <row r="80" spans="1:4" x14ac:dyDescent="0.3">
      <c r="A80" t="s">
        <v>474</v>
      </c>
      <c r="B80">
        <v>3900</v>
      </c>
      <c r="C80">
        <v>1</v>
      </c>
      <c r="D80" t="s">
        <v>855</v>
      </c>
    </row>
    <row r="81" spans="1:4" x14ac:dyDescent="0.3">
      <c r="A81" t="s">
        <v>474</v>
      </c>
      <c r="B81">
        <v>3900</v>
      </c>
      <c r="C81">
        <v>1</v>
      </c>
      <c r="D81" t="s">
        <v>855</v>
      </c>
    </row>
    <row r="82" spans="1:4" x14ac:dyDescent="0.3">
      <c r="A82" t="s">
        <v>474</v>
      </c>
      <c r="B82">
        <v>3900</v>
      </c>
      <c r="C82">
        <v>1</v>
      </c>
      <c r="D82" t="s">
        <v>854</v>
      </c>
    </row>
    <row r="83" spans="1:4" x14ac:dyDescent="0.3">
      <c r="A83" t="s">
        <v>474</v>
      </c>
      <c r="B83">
        <v>3900</v>
      </c>
      <c r="C83">
        <v>1</v>
      </c>
      <c r="D83" t="s">
        <v>854</v>
      </c>
    </row>
    <row r="84" spans="1:4" x14ac:dyDescent="0.3">
      <c r="A84" t="s">
        <v>474</v>
      </c>
      <c r="B84">
        <v>3900</v>
      </c>
      <c r="C84">
        <v>1</v>
      </c>
      <c r="D84" t="s">
        <v>854</v>
      </c>
    </row>
    <row r="85" spans="1:4" x14ac:dyDescent="0.3">
      <c r="A85" t="s">
        <v>474</v>
      </c>
      <c r="B85">
        <v>3900</v>
      </c>
      <c r="C85">
        <v>1</v>
      </c>
      <c r="D85" t="s">
        <v>854</v>
      </c>
    </row>
    <row r="86" spans="1:4" x14ac:dyDescent="0.3">
      <c r="A86" t="s">
        <v>474</v>
      </c>
      <c r="B86">
        <v>3900</v>
      </c>
      <c r="C86">
        <v>1</v>
      </c>
      <c r="D86" t="s">
        <v>854</v>
      </c>
    </row>
    <row r="87" spans="1:4" x14ac:dyDescent="0.3">
      <c r="A87" t="s">
        <v>474</v>
      </c>
      <c r="B87">
        <v>3900</v>
      </c>
      <c r="C87">
        <v>1</v>
      </c>
      <c r="D87" t="s">
        <v>854</v>
      </c>
    </row>
    <row r="88" spans="1:4" x14ac:dyDescent="0.3">
      <c r="A88" t="s">
        <v>474</v>
      </c>
      <c r="B88">
        <v>3900</v>
      </c>
      <c r="C88">
        <v>1</v>
      </c>
      <c r="D88" t="s">
        <v>854</v>
      </c>
    </row>
    <row r="89" spans="1:4" x14ac:dyDescent="0.3">
      <c r="A89" t="s">
        <v>474</v>
      </c>
      <c r="B89">
        <v>3900</v>
      </c>
      <c r="C89">
        <v>1</v>
      </c>
      <c r="D89" t="s">
        <v>854</v>
      </c>
    </row>
    <row r="90" spans="1:4" x14ac:dyDescent="0.3">
      <c r="A90" t="s">
        <v>474</v>
      </c>
      <c r="B90">
        <v>3900</v>
      </c>
      <c r="C90">
        <v>1</v>
      </c>
      <c r="D90" t="s">
        <v>854</v>
      </c>
    </row>
    <row r="91" spans="1:4" x14ac:dyDescent="0.3">
      <c r="A91" t="s">
        <v>474</v>
      </c>
      <c r="B91">
        <v>3900</v>
      </c>
      <c r="C91">
        <v>1</v>
      </c>
      <c r="D91" t="s">
        <v>854</v>
      </c>
    </row>
    <row r="92" spans="1:4" x14ac:dyDescent="0.3">
      <c r="A92" t="s">
        <v>474</v>
      </c>
      <c r="B92">
        <v>3900</v>
      </c>
      <c r="C92">
        <v>1</v>
      </c>
      <c r="D92" t="s">
        <v>854</v>
      </c>
    </row>
    <row r="93" spans="1:4" x14ac:dyDescent="0.3">
      <c r="A93" t="s">
        <v>474</v>
      </c>
      <c r="B93">
        <v>3900</v>
      </c>
      <c r="C93">
        <v>1</v>
      </c>
      <c r="D93" t="s">
        <v>854</v>
      </c>
    </row>
    <row r="94" spans="1:4" x14ac:dyDescent="0.3">
      <c r="A94" t="s">
        <v>474</v>
      </c>
      <c r="B94">
        <v>3900</v>
      </c>
      <c r="C94">
        <v>1</v>
      </c>
      <c r="D94" t="s">
        <v>854</v>
      </c>
    </row>
    <row r="95" spans="1:4" x14ac:dyDescent="0.3">
      <c r="A95" t="s">
        <v>474</v>
      </c>
      <c r="B95">
        <v>3900</v>
      </c>
      <c r="C95">
        <v>1</v>
      </c>
      <c r="D95" t="s">
        <v>854</v>
      </c>
    </row>
    <row r="96" spans="1:4" x14ac:dyDescent="0.3">
      <c r="A96" t="s">
        <v>474</v>
      </c>
      <c r="B96">
        <v>3900</v>
      </c>
      <c r="C96">
        <v>1</v>
      </c>
      <c r="D96" t="s">
        <v>854</v>
      </c>
    </row>
    <row r="97" spans="1:4" x14ac:dyDescent="0.3">
      <c r="A97" t="s">
        <v>474</v>
      </c>
      <c r="B97">
        <v>3900</v>
      </c>
      <c r="C97">
        <v>1</v>
      </c>
      <c r="D97" t="s">
        <v>854</v>
      </c>
    </row>
    <row r="98" spans="1:4" x14ac:dyDescent="0.3">
      <c r="A98" t="s">
        <v>474</v>
      </c>
      <c r="B98">
        <v>3900</v>
      </c>
      <c r="C98">
        <v>1</v>
      </c>
      <c r="D98" t="s">
        <v>854</v>
      </c>
    </row>
    <row r="99" spans="1:4" x14ac:dyDescent="0.3">
      <c r="A99" t="s">
        <v>474</v>
      </c>
      <c r="B99">
        <v>3900</v>
      </c>
      <c r="C99">
        <v>1</v>
      </c>
      <c r="D99" t="s">
        <v>854</v>
      </c>
    </row>
    <row r="100" spans="1:4" x14ac:dyDescent="0.3">
      <c r="A100" t="s">
        <v>474</v>
      </c>
      <c r="B100">
        <v>3900</v>
      </c>
      <c r="C100">
        <v>1</v>
      </c>
      <c r="D100" t="s">
        <v>854</v>
      </c>
    </row>
    <row r="101" spans="1:4" x14ac:dyDescent="0.3">
      <c r="A101" t="s">
        <v>474</v>
      </c>
      <c r="B101">
        <v>3900</v>
      </c>
      <c r="C101">
        <v>1</v>
      </c>
      <c r="D101" t="s">
        <v>854</v>
      </c>
    </row>
    <row r="102" spans="1:4" x14ac:dyDescent="0.3">
      <c r="A102" t="s">
        <v>474</v>
      </c>
      <c r="B102">
        <v>3900</v>
      </c>
      <c r="C102">
        <v>1</v>
      </c>
      <c r="D102" t="s">
        <v>854</v>
      </c>
    </row>
    <row r="103" spans="1:4" x14ac:dyDescent="0.3">
      <c r="A103" t="s">
        <v>474</v>
      </c>
      <c r="B103">
        <v>3900</v>
      </c>
      <c r="C103">
        <v>1</v>
      </c>
      <c r="D103" t="s">
        <v>854</v>
      </c>
    </row>
    <row r="104" spans="1:4" x14ac:dyDescent="0.3">
      <c r="A104" t="s">
        <v>474</v>
      </c>
      <c r="B104">
        <v>3900</v>
      </c>
      <c r="C104">
        <v>1</v>
      </c>
      <c r="D104" t="s">
        <v>854</v>
      </c>
    </row>
    <row r="105" spans="1:4" x14ac:dyDescent="0.3">
      <c r="A105" t="s">
        <v>474</v>
      </c>
      <c r="B105">
        <v>3900</v>
      </c>
      <c r="C105">
        <v>1</v>
      </c>
      <c r="D105" t="s">
        <v>854</v>
      </c>
    </row>
    <row r="106" spans="1:4" x14ac:dyDescent="0.3">
      <c r="A106" t="s">
        <v>474</v>
      </c>
      <c r="B106">
        <v>3900</v>
      </c>
      <c r="C106">
        <v>1</v>
      </c>
      <c r="D106" t="s">
        <v>854</v>
      </c>
    </row>
    <row r="107" spans="1:4" x14ac:dyDescent="0.3">
      <c r="A107" t="s">
        <v>474</v>
      </c>
      <c r="B107">
        <v>3900</v>
      </c>
      <c r="C107">
        <v>1</v>
      </c>
      <c r="D107" t="s">
        <v>854</v>
      </c>
    </row>
    <row r="108" spans="1:4" x14ac:dyDescent="0.3">
      <c r="A108" t="s">
        <v>474</v>
      </c>
      <c r="B108">
        <v>3900</v>
      </c>
      <c r="C108">
        <v>1</v>
      </c>
      <c r="D108" t="s">
        <v>854</v>
      </c>
    </row>
    <row r="109" spans="1:4" ht="15" thickBot="1" x14ac:dyDescent="0.35"/>
    <row r="110" spans="1:4" x14ac:dyDescent="0.3">
      <c r="A110" s="176" t="s">
        <v>856</v>
      </c>
      <c r="B110" s="177">
        <v>405600</v>
      </c>
      <c r="C110" s="178" t="s">
        <v>857</v>
      </c>
    </row>
    <row r="111" spans="1:4" x14ac:dyDescent="0.3">
      <c r="A111" s="179"/>
      <c r="B111" s="180">
        <v>405.6</v>
      </c>
      <c r="C111" s="181" t="s">
        <v>1</v>
      </c>
    </row>
    <row r="112" spans="1:4" x14ac:dyDescent="0.3">
      <c r="A112" s="179" t="s">
        <v>858</v>
      </c>
      <c r="B112" s="180">
        <v>39343.199999999997</v>
      </c>
      <c r="C112" s="181" t="s">
        <v>859</v>
      </c>
    </row>
    <row r="113" spans="1:4" x14ac:dyDescent="0.3">
      <c r="A113" s="179"/>
      <c r="B113" s="180">
        <v>39.343200000000003</v>
      </c>
      <c r="C113" s="181" t="s">
        <v>472</v>
      </c>
    </row>
    <row r="114" spans="1:4" ht="15" thickBot="1" x14ac:dyDescent="0.35">
      <c r="A114" s="182"/>
      <c r="B114" s="183">
        <v>494.83199999999999</v>
      </c>
      <c r="C114" s="184" t="s">
        <v>56</v>
      </c>
    </row>
    <row r="116" spans="1:4" x14ac:dyDescent="0.3">
      <c r="A116" s="175" t="s">
        <v>477</v>
      </c>
    </row>
    <row r="117" spans="1:4" x14ac:dyDescent="0.3">
      <c r="A117" t="s">
        <v>477</v>
      </c>
      <c r="B117">
        <v>7566</v>
      </c>
      <c r="C117">
        <v>1</v>
      </c>
      <c r="D117" t="s">
        <v>854</v>
      </c>
    </row>
    <row r="118" spans="1:4" x14ac:dyDescent="0.3">
      <c r="A118" t="s">
        <v>477</v>
      </c>
      <c r="B118">
        <v>7566</v>
      </c>
      <c r="C118">
        <v>1</v>
      </c>
      <c r="D118" t="s">
        <v>854</v>
      </c>
    </row>
    <row r="119" spans="1:4" x14ac:dyDescent="0.3">
      <c r="A119" t="s">
        <v>477</v>
      </c>
      <c r="B119">
        <v>7566</v>
      </c>
      <c r="C119">
        <v>1</v>
      </c>
      <c r="D119" t="s">
        <v>854</v>
      </c>
    </row>
    <row r="120" spans="1:4" x14ac:dyDescent="0.3">
      <c r="A120" t="s">
        <v>477</v>
      </c>
      <c r="B120">
        <v>7639</v>
      </c>
      <c r="C120">
        <v>1</v>
      </c>
      <c r="D120" t="s">
        <v>854</v>
      </c>
    </row>
    <row r="121" spans="1:4" x14ac:dyDescent="0.3">
      <c r="A121" t="s">
        <v>477</v>
      </c>
      <c r="B121">
        <v>7639</v>
      </c>
      <c r="C121">
        <v>1</v>
      </c>
      <c r="D121" t="s">
        <v>854</v>
      </c>
    </row>
    <row r="122" spans="1:4" x14ac:dyDescent="0.3">
      <c r="A122" t="s">
        <v>477</v>
      </c>
      <c r="B122">
        <v>5368</v>
      </c>
      <c r="C122">
        <v>1</v>
      </c>
      <c r="D122" t="s">
        <v>855</v>
      </c>
    </row>
    <row r="123" spans="1:4" x14ac:dyDescent="0.3">
      <c r="A123" t="s">
        <v>477</v>
      </c>
      <c r="B123">
        <v>5368</v>
      </c>
      <c r="C123">
        <v>1</v>
      </c>
      <c r="D123" t="s">
        <v>855</v>
      </c>
    </row>
    <row r="124" spans="1:4" x14ac:dyDescent="0.3">
      <c r="A124" t="s">
        <v>477</v>
      </c>
      <c r="B124">
        <v>5368</v>
      </c>
      <c r="C124">
        <v>1</v>
      </c>
      <c r="D124" t="s">
        <v>855</v>
      </c>
    </row>
    <row r="125" spans="1:4" x14ac:dyDescent="0.3">
      <c r="A125" t="s">
        <v>477</v>
      </c>
      <c r="B125">
        <v>5368</v>
      </c>
      <c r="C125">
        <v>1</v>
      </c>
      <c r="D125" t="s">
        <v>855</v>
      </c>
    </row>
    <row r="126" spans="1:4" x14ac:dyDescent="0.3">
      <c r="A126" t="s">
        <v>477</v>
      </c>
      <c r="B126">
        <v>7578</v>
      </c>
      <c r="C126">
        <v>1</v>
      </c>
      <c r="D126" t="s">
        <v>854</v>
      </c>
    </row>
    <row r="127" spans="1:4" x14ac:dyDescent="0.3">
      <c r="A127" t="s">
        <v>477</v>
      </c>
      <c r="B127">
        <v>5368</v>
      </c>
      <c r="C127">
        <v>1</v>
      </c>
      <c r="D127" t="s">
        <v>855</v>
      </c>
    </row>
    <row r="128" spans="1:4" x14ac:dyDescent="0.3">
      <c r="A128" t="s">
        <v>477</v>
      </c>
      <c r="B128">
        <v>7578</v>
      </c>
      <c r="C128">
        <v>1</v>
      </c>
      <c r="D128" t="s">
        <v>854</v>
      </c>
    </row>
    <row r="129" spans="1:4" x14ac:dyDescent="0.3">
      <c r="A129" t="s">
        <v>477</v>
      </c>
      <c r="B129">
        <v>3303</v>
      </c>
      <c r="C129">
        <v>1</v>
      </c>
      <c r="D129" t="s">
        <v>860</v>
      </c>
    </row>
    <row r="130" spans="1:4" x14ac:dyDescent="0.3">
      <c r="A130" t="s">
        <v>477</v>
      </c>
      <c r="B130">
        <v>8234</v>
      </c>
      <c r="C130">
        <v>1</v>
      </c>
      <c r="D130" t="s">
        <v>854</v>
      </c>
    </row>
    <row r="131" spans="1:4" x14ac:dyDescent="0.3">
      <c r="A131" t="s">
        <v>477</v>
      </c>
      <c r="B131">
        <v>8234</v>
      </c>
      <c r="C131">
        <v>1</v>
      </c>
      <c r="D131" t="s">
        <v>854</v>
      </c>
    </row>
    <row r="132" spans="1:4" x14ac:dyDescent="0.3">
      <c r="A132" t="s">
        <v>477</v>
      </c>
      <c r="B132">
        <v>5368</v>
      </c>
      <c r="C132">
        <v>1</v>
      </c>
      <c r="D132" t="s">
        <v>855</v>
      </c>
    </row>
    <row r="133" spans="1:4" x14ac:dyDescent="0.3">
      <c r="A133" t="s">
        <v>477</v>
      </c>
      <c r="B133">
        <v>5368</v>
      </c>
      <c r="C133">
        <v>1</v>
      </c>
      <c r="D133" t="s">
        <v>855</v>
      </c>
    </row>
    <row r="134" spans="1:4" x14ac:dyDescent="0.3">
      <c r="A134" t="s">
        <v>477</v>
      </c>
      <c r="B134">
        <v>3303</v>
      </c>
      <c r="C134">
        <v>1</v>
      </c>
      <c r="D134" t="s">
        <v>860</v>
      </c>
    </row>
    <row r="135" spans="1:4" x14ac:dyDescent="0.3">
      <c r="A135" t="s">
        <v>477</v>
      </c>
      <c r="B135">
        <v>5199</v>
      </c>
      <c r="C135">
        <v>1</v>
      </c>
      <c r="D135" t="s">
        <v>860</v>
      </c>
    </row>
    <row r="136" spans="1:4" x14ac:dyDescent="0.3">
      <c r="A136" t="s">
        <v>477</v>
      </c>
      <c r="B136">
        <v>4712</v>
      </c>
      <c r="C136">
        <v>1</v>
      </c>
      <c r="D136" t="s">
        <v>860</v>
      </c>
    </row>
    <row r="137" spans="1:4" x14ac:dyDescent="0.3">
      <c r="A137" t="s">
        <v>477</v>
      </c>
      <c r="B137">
        <v>4125</v>
      </c>
      <c r="C137">
        <v>1</v>
      </c>
      <c r="D137" t="s">
        <v>860</v>
      </c>
    </row>
    <row r="138" spans="1:4" x14ac:dyDescent="0.3">
      <c r="A138" t="s">
        <v>477</v>
      </c>
      <c r="B138">
        <v>4900</v>
      </c>
      <c r="C138">
        <v>1</v>
      </c>
      <c r="D138" t="s">
        <v>860</v>
      </c>
    </row>
    <row r="139" spans="1:4" x14ac:dyDescent="0.3">
      <c r="A139" t="s">
        <v>477</v>
      </c>
      <c r="B139">
        <v>5038</v>
      </c>
      <c r="C139">
        <v>1</v>
      </c>
      <c r="D139" t="s">
        <v>860</v>
      </c>
    </row>
    <row r="140" spans="1:4" x14ac:dyDescent="0.3">
      <c r="A140" t="s">
        <v>477</v>
      </c>
      <c r="B140">
        <v>7566</v>
      </c>
      <c r="C140">
        <v>1</v>
      </c>
      <c r="D140" t="s">
        <v>854</v>
      </c>
    </row>
    <row r="141" spans="1:4" x14ac:dyDescent="0.3">
      <c r="A141" t="s">
        <v>477</v>
      </c>
      <c r="B141">
        <v>6355</v>
      </c>
      <c r="C141">
        <v>1</v>
      </c>
      <c r="D141" t="s">
        <v>855</v>
      </c>
    </row>
    <row r="142" spans="1:4" x14ac:dyDescent="0.3">
      <c r="A142" t="s">
        <v>477</v>
      </c>
      <c r="B142">
        <v>2192</v>
      </c>
      <c r="C142">
        <v>1</v>
      </c>
      <c r="D142" t="s">
        <v>861</v>
      </c>
    </row>
    <row r="143" spans="1:4" x14ac:dyDescent="0.3">
      <c r="A143" t="s">
        <v>477</v>
      </c>
      <c r="B143">
        <v>3701</v>
      </c>
      <c r="C143">
        <v>1</v>
      </c>
      <c r="D143" t="s">
        <v>860</v>
      </c>
    </row>
    <row r="144" spans="1:4" x14ac:dyDescent="0.3">
      <c r="A144" t="s">
        <v>477</v>
      </c>
      <c r="B144">
        <v>4694</v>
      </c>
      <c r="C144">
        <v>1</v>
      </c>
      <c r="D144" t="s">
        <v>860</v>
      </c>
    </row>
    <row r="145" spans="1:4" x14ac:dyDescent="0.3">
      <c r="A145" t="s">
        <v>477</v>
      </c>
      <c r="B145">
        <v>3701</v>
      </c>
      <c r="C145">
        <v>1</v>
      </c>
      <c r="D145" t="s">
        <v>860</v>
      </c>
    </row>
    <row r="146" spans="1:4" x14ac:dyDescent="0.3">
      <c r="A146" t="s">
        <v>477</v>
      </c>
      <c r="B146">
        <v>4694</v>
      </c>
      <c r="C146">
        <v>1</v>
      </c>
      <c r="D146" t="s">
        <v>860</v>
      </c>
    </row>
    <row r="147" spans="1:4" x14ac:dyDescent="0.3">
      <c r="A147" t="s">
        <v>477</v>
      </c>
      <c r="B147">
        <v>5351</v>
      </c>
      <c r="C147">
        <v>1</v>
      </c>
      <c r="D147" t="s">
        <v>855</v>
      </c>
    </row>
    <row r="148" spans="1:4" x14ac:dyDescent="0.3">
      <c r="A148" t="s">
        <v>477</v>
      </c>
      <c r="B148">
        <v>5218</v>
      </c>
      <c r="C148">
        <v>1</v>
      </c>
      <c r="D148" t="s">
        <v>855</v>
      </c>
    </row>
    <row r="149" spans="1:4" x14ac:dyDescent="0.3">
      <c r="A149" t="s">
        <v>477</v>
      </c>
      <c r="B149">
        <v>9025</v>
      </c>
      <c r="C149">
        <v>1</v>
      </c>
      <c r="D149" t="s">
        <v>854</v>
      </c>
    </row>
    <row r="150" spans="1:4" x14ac:dyDescent="0.3">
      <c r="A150" t="s">
        <v>477</v>
      </c>
      <c r="B150">
        <v>9025</v>
      </c>
      <c r="C150">
        <v>1</v>
      </c>
      <c r="D150" t="s">
        <v>854</v>
      </c>
    </row>
    <row r="151" spans="1:4" x14ac:dyDescent="0.3">
      <c r="A151" t="s">
        <v>477</v>
      </c>
      <c r="B151">
        <v>2140</v>
      </c>
      <c r="C151">
        <v>1</v>
      </c>
      <c r="D151" t="s">
        <v>861</v>
      </c>
    </row>
    <row r="152" spans="1:4" x14ac:dyDescent="0.3">
      <c r="A152" t="s">
        <v>477</v>
      </c>
      <c r="B152">
        <v>5351</v>
      </c>
      <c r="C152">
        <v>1</v>
      </c>
      <c r="D152" t="s">
        <v>855</v>
      </c>
    </row>
    <row r="153" spans="1:4" x14ac:dyDescent="0.3">
      <c r="A153" t="s">
        <v>477</v>
      </c>
      <c r="B153">
        <v>5218</v>
      </c>
      <c r="C153">
        <v>1</v>
      </c>
      <c r="D153" t="s">
        <v>860</v>
      </c>
    </row>
    <row r="154" spans="1:4" x14ac:dyDescent="0.3">
      <c r="A154" t="s">
        <v>477</v>
      </c>
      <c r="B154">
        <v>5719</v>
      </c>
      <c r="C154">
        <v>1</v>
      </c>
      <c r="D154" t="s">
        <v>855</v>
      </c>
    </row>
    <row r="155" spans="1:4" x14ac:dyDescent="0.3">
      <c r="A155" t="s">
        <v>477</v>
      </c>
      <c r="B155">
        <v>2546</v>
      </c>
      <c r="C155">
        <v>1</v>
      </c>
      <c r="D155" t="s">
        <v>861</v>
      </c>
    </row>
    <row r="156" spans="1:4" x14ac:dyDescent="0.3">
      <c r="A156" t="s">
        <v>477</v>
      </c>
      <c r="B156">
        <v>4740</v>
      </c>
      <c r="C156">
        <v>1</v>
      </c>
      <c r="D156" t="s">
        <v>860</v>
      </c>
    </row>
    <row r="157" spans="1:4" x14ac:dyDescent="0.3">
      <c r="A157" t="s">
        <v>477</v>
      </c>
      <c r="B157">
        <v>7566</v>
      </c>
      <c r="C157">
        <v>1</v>
      </c>
      <c r="D157" t="s">
        <v>854</v>
      </c>
    </row>
    <row r="158" spans="1:4" x14ac:dyDescent="0.3">
      <c r="A158" t="s">
        <v>477</v>
      </c>
      <c r="B158">
        <v>7639</v>
      </c>
      <c r="C158">
        <v>1</v>
      </c>
      <c r="D158" t="s">
        <v>854</v>
      </c>
    </row>
    <row r="159" spans="1:4" x14ac:dyDescent="0.3">
      <c r="A159" t="s">
        <v>477</v>
      </c>
      <c r="B159">
        <v>7639</v>
      </c>
      <c r="C159">
        <v>1</v>
      </c>
      <c r="D159" t="s">
        <v>854</v>
      </c>
    </row>
    <row r="160" spans="1:4" x14ac:dyDescent="0.3">
      <c r="A160" t="s">
        <v>477</v>
      </c>
      <c r="B160">
        <v>4740</v>
      </c>
      <c r="C160">
        <v>1</v>
      </c>
      <c r="D160" t="s">
        <v>860</v>
      </c>
    </row>
    <row r="161" spans="1:4" x14ac:dyDescent="0.3">
      <c r="A161" t="s">
        <v>477</v>
      </c>
      <c r="B161">
        <v>7578</v>
      </c>
      <c r="C161">
        <v>1</v>
      </c>
      <c r="D161" t="s">
        <v>854</v>
      </c>
    </row>
    <row r="162" spans="1:4" x14ac:dyDescent="0.3">
      <c r="A162" t="s">
        <v>477</v>
      </c>
      <c r="B162">
        <v>1856</v>
      </c>
      <c r="C162">
        <v>1</v>
      </c>
      <c r="D162" t="s">
        <v>861</v>
      </c>
    </row>
    <row r="163" spans="1:4" x14ac:dyDescent="0.3">
      <c r="A163" t="s">
        <v>477</v>
      </c>
      <c r="B163">
        <v>2884</v>
      </c>
      <c r="C163">
        <v>1</v>
      </c>
      <c r="D163" t="s">
        <v>861</v>
      </c>
    </row>
    <row r="164" spans="1:4" x14ac:dyDescent="0.3">
      <c r="A164" t="s">
        <v>477</v>
      </c>
      <c r="B164">
        <v>7578</v>
      </c>
      <c r="C164">
        <v>1</v>
      </c>
      <c r="D164" t="s">
        <v>854</v>
      </c>
    </row>
    <row r="165" spans="1:4" x14ac:dyDescent="0.3">
      <c r="A165" t="s">
        <v>477</v>
      </c>
      <c r="B165">
        <v>8234</v>
      </c>
      <c r="C165">
        <v>1</v>
      </c>
      <c r="D165" t="s">
        <v>854</v>
      </c>
    </row>
    <row r="166" spans="1:4" x14ac:dyDescent="0.3">
      <c r="A166" t="s">
        <v>477</v>
      </c>
      <c r="B166">
        <v>2884</v>
      </c>
      <c r="C166">
        <v>1</v>
      </c>
      <c r="D166" t="s">
        <v>861</v>
      </c>
    </row>
    <row r="167" spans="1:4" x14ac:dyDescent="0.3">
      <c r="A167" t="s">
        <v>477</v>
      </c>
      <c r="B167">
        <v>8234</v>
      </c>
      <c r="C167">
        <v>1</v>
      </c>
      <c r="D167" t="s">
        <v>854</v>
      </c>
    </row>
    <row r="168" spans="1:4" x14ac:dyDescent="0.3">
      <c r="A168" t="s">
        <v>477</v>
      </c>
      <c r="B168">
        <v>7578</v>
      </c>
      <c r="C168">
        <v>1</v>
      </c>
      <c r="D168" t="s">
        <v>854</v>
      </c>
    </row>
    <row r="169" spans="1:4" x14ac:dyDescent="0.3">
      <c r="A169" t="s">
        <v>477</v>
      </c>
      <c r="B169">
        <v>5368</v>
      </c>
      <c r="C169">
        <v>1</v>
      </c>
      <c r="D169" t="s">
        <v>855</v>
      </c>
    </row>
    <row r="170" spans="1:4" x14ac:dyDescent="0.3">
      <c r="A170" t="s">
        <v>477</v>
      </c>
      <c r="B170">
        <v>7566</v>
      </c>
      <c r="C170">
        <v>1</v>
      </c>
      <c r="D170" t="s">
        <v>854</v>
      </c>
    </row>
    <row r="171" spans="1:4" x14ac:dyDescent="0.3">
      <c r="A171" t="s">
        <v>477</v>
      </c>
      <c r="B171">
        <v>7639</v>
      </c>
      <c r="C171">
        <v>1</v>
      </c>
      <c r="D171" t="s">
        <v>854</v>
      </c>
    </row>
    <row r="172" spans="1:4" x14ac:dyDescent="0.3">
      <c r="A172" t="s">
        <v>477</v>
      </c>
      <c r="B172">
        <v>5368</v>
      </c>
      <c r="C172">
        <v>1</v>
      </c>
      <c r="D172" t="s">
        <v>855</v>
      </c>
    </row>
    <row r="173" spans="1:4" x14ac:dyDescent="0.3">
      <c r="A173" t="s">
        <v>477</v>
      </c>
      <c r="B173">
        <v>5368</v>
      </c>
      <c r="C173">
        <v>1</v>
      </c>
      <c r="D173" t="s">
        <v>855</v>
      </c>
    </row>
    <row r="174" spans="1:4" x14ac:dyDescent="0.3">
      <c r="A174" t="s">
        <v>477</v>
      </c>
      <c r="B174">
        <v>5368</v>
      </c>
      <c r="C174">
        <v>1</v>
      </c>
      <c r="D174" t="s">
        <v>855</v>
      </c>
    </row>
    <row r="175" spans="1:4" x14ac:dyDescent="0.3">
      <c r="A175" t="s">
        <v>477</v>
      </c>
      <c r="B175">
        <v>5368</v>
      </c>
      <c r="C175">
        <v>1</v>
      </c>
      <c r="D175" t="s">
        <v>855</v>
      </c>
    </row>
    <row r="176" spans="1:4" x14ac:dyDescent="0.3">
      <c r="A176" t="s">
        <v>477</v>
      </c>
      <c r="B176">
        <v>7639</v>
      </c>
      <c r="C176">
        <v>1</v>
      </c>
      <c r="D176" t="s">
        <v>854</v>
      </c>
    </row>
    <row r="177" spans="1:4" x14ac:dyDescent="0.3">
      <c r="A177" t="s">
        <v>477</v>
      </c>
      <c r="B177">
        <v>5368</v>
      </c>
      <c r="C177">
        <v>1</v>
      </c>
      <c r="D177" t="s">
        <v>855</v>
      </c>
    </row>
    <row r="178" spans="1:4" x14ac:dyDescent="0.3">
      <c r="A178" t="s">
        <v>477</v>
      </c>
      <c r="B178">
        <v>2065</v>
      </c>
      <c r="C178">
        <v>1</v>
      </c>
      <c r="D178" t="s">
        <v>861</v>
      </c>
    </row>
    <row r="179" spans="1:4" x14ac:dyDescent="0.3">
      <c r="A179" t="s">
        <v>477</v>
      </c>
      <c r="B179">
        <v>7566</v>
      </c>
      <c r="C179">
        <v>1</v>
      </c>
      <c r="D179" t="s">
        <v>854</v>
      </c>
    </row>
    <row r="180" spans="1:4" x14ac:dyDescent="0.3">
      <c r="A180" t="s">
        <v>477</v>
      </c>
      <c r="B180">
        <v>3005</v>
      </c>
      <c r="C180">
        <v>1</v>
      </c>
      <c r="D180" t="s">
        <v>861</v>
      </c>
    </row>
    <row r="181" spans="1:4" x14ac:dyDescent="0.3">
      <c r="A181" t="s">
        <v>477</v>
      </c>
      <c r="B181">
        <v>7639</v>
      </c>
      <c r="C181">
        <v>1</v>
      </c>
      <c r="D181" t="s">
        <v>854</v>
      </c>
    </row>
    <row r="182" spans="1:4" x14ac:dyDescent="0.3">
      <c r="A182" t="s">
        <v>477</v>
      </c>
      <c r="B182">
        <v>3005</v>
      </c>
      <c r="C182">
        <v>1</v>
      </c>
      <c r="D182" t="s">
        <v>861</v>
      </c>
    </row>
    <row r="183" spans="1:4" x14ac:dyDescent="0.3">
      <c r="A183" t="s">
        <v>477</v>
      </c>
      <c r="B183">
        <v>7578</v>
      </c>
      <c r="C183">
        <v>1</v>
      </c>
      <c r="D183" t="s">
        <v>854</v>
      </c>
    </row>
    <row r="184" spans="1:4" x14ac:dyDescent="0.3">
      <c r="A184" t="s">
        <v>477</v>
      </c>
      <c r="B184">
        <v>5368</v>
      </c>
      <c r="C184">
        <v>1</v>
      </c>
      <c r="D184" t="s">
        <v>855</v>
      </c>
    </row>
    <row r="185" spans="1:4" x14ac:dyDescent="0.3">
      <c r="A185" t="s">
        <v>477</v>
      </c>
      <c r="B185">
        <v>2065</v>
      </c>
      <c r="C185">
        <v>1</v>
      </c>
      <c r="D185" t="s">
        <v>861</v>
      </c>
    </row>
    <row r="186" spans="1:4" x14ac:dyDescent="0.3">
      <c r="A186" t="s">
        <v>477</v>
      </c>
      <c r="B186">
        <v>2215</v>
      </c>
      <c r="C186">
        <v>1</v>
      </c>
      <c r="D186" t="s">
        <v>861</v>
      </c>
    </row>
    <row r="187" spans="1:4" x14ac:dyDescent="0.3">
      <c r="A187" t="s">
        <v>477</v>
      </c>
      <c r="B187">
        <v>7578</v>
      </c>
      <c r="C187">
        <v>1</v>
      </c>
      <c r="D187" t="s">
        <v>854</v>
      </c>
    </row>
    <row r="188" spans="1:4" x14ac:dyDescent="0.3">
      <c r="A188" t="s">
        <v>477</v>
      </c>
      <c r="B188">
        <v>3303</v>
      </c>
      <c r="C188">
        <v>1</v>
      </c>
      <c r="D188" t="s">
        <v>860</v>
      </c>
    </row>
    <row r="189" spans="1:4" x14ac:dyDescent="0.3">
      <c r="A189" t="s">
        <v>477</v>
      </c>
      <c r="B189">
        <v>3701</v>
      </c>
      <c r="C189">
        <v>1</v>
      </c>
      <c r="D189" t="s">
        <v>860</v>
      </c>
    </row>
    <row r="190" spans="1:4" x14ac:dyDescent="0.3">
      <c r="A190" t="s">
        <v>477</v>
      </c>
      <c r="B190">
        <v>4759</v>
      </c>
      <c r="C190">
        <v>1</v>
      </c>
      <c r="D190" t="s">
        <v>860</v>
      </c>
    </row>
    <row r="191" spans="1:4" x14ac:dyDescent="0.3">
      <c r="A191" t="s">
        <v>477</v>
      </c>
      <c r="B191">
        <v>3701</v>
      </c>
      <c r="C191">
        <v>1</v>
      </c>
      <c r="D191" t="s">
        <v>860</v>
      </c>
    </row>
    <row r="192" spans="1:4" x14ac:dyDescent="0.3">
      <c r="A192" t="s">
        <v>477</v>
      </c>
      <c r="B192">
        <v>6459</v>
      </c>
      <c r="C192">
        <v>1</v>
      </c>
      <c r="D192" t="s">
        <v>855</v>
      </c>
    </row>
    <row r="193" spans="1:4" x14ac:dyDescent="0.3">
      <c r="A193" t="s">
        <v>477</v>
      </c>
      <c r="B193">
        <v>3303</v>
      </c>
      <c r="C193">
        <v>1</v>
      </c>
      <c r="D193" t="s">
        <v>860</v>
      </c>
    </row>
    <row r="194" spans="1:4" x14ac:dyDescent="0.3">
      <c r="A194" t="s">
        <v>477</v>
      </c>
      <c r="B194">
        <v>4759</v>
      </c>
      <c r="C194">
        <v>1</v>
      </c>
      <c r="D194" t="s">
        <v>860</v>
      </c>
    </row>
    <row r="195" spans="1:4" x14ac:dyDescent="0.3">
      <c r="A195" t="s">
        <v>477</v>
      </c>
      <c r="B195">
        <v>5368</v>
      </c>
      <c r="C195">
        <v>1</v>
      </c>
      <c r="D195" t="s">
        <v>855</v>
      </c>
    </row>
    <row r="196" spans="1:4" x14ac:dyDescent="0.3">
      <c r="A196" t="s">
        <v>477</v>
      </c>
      <c r="B196">
        <v>5368</v>
      </c>
      <c r="C196">
        <v>1</v>
      </c>
      <c r="D196" t="s">
        <v>855</v>
      </c>
    </row>
    <row r="197" spans="1:4" x14ac:dyDescent="0.3">
      <c r="A197" t="s">
        <v>477</v>
      </c>
      <c r="B197">
        <v>5368</v>
      </c>
      <c r="C197">
        <v>1</v>
      </c>
      <c r="D197" t="s">
        <v>855</v>
      </c>
    </row>
    <row r="198" spans="1:4" x14ac:dyDescent="0.3">
      <c r="A198" t="s">
        <v>477</v>
      </c>
      <c r="B198">
        <v>8234</v>
      </c>
      <c r="C198">
        <v>1</v>
      </c>
      <c r="D198" t="s">
        <v>854</v>
      </c>
    </row>
    <row r="199" spans="1:4" x14ac:dyDescent="0.3">
      <c r="A199" t="s">
        <v>477</v>
      </c>
      <c r="B199">
        <v>8234</v>
      </c>
      <c r="C199">
        <v>1</v>
      </c>
      <c r="D199" t="s">
        <v>854</v>
      </c>
    </row>
    <row r="200" spans="1:4" x14ac:dyDescent="0.3">
      <c r="A200" t="s">
        <v>477</v>
      </c>
      <c r="B200">
        <v>5199</v>
      </c>
      <c r="C200">
        <v>1</v>
      </c>
      <c r="D200" t="s">
        <v>860</v>
      </c>
    </row>
    <row r="201" spans="1:4" x14ac:dyDescent="0.3">
      <c r="A201" t="s">
        <v>477</v>
      </c>
      <c r="B201">
        <v>5351</v>
      </c>
      <c r="C201">
        <v>1</v>
      </c>
      <c r="D201" t="s">
        <v>855</v>
      </c>
    </row>
    <row r="202" spans="1:4" x14ac:dyDescent="0.3">
      <c r="A202" t="s">
        <v>477</v>
      </c>
      <c r="B202">
        <v>9291</v>
      </c>
      <c r="C202">
        <v>1</v>
      </c>
      <c r="D202" t="s">
        <v>862</v>
      </c>
    </row>
    <row r="203" spans="1:4" x14ac:dyDescent="0.3">
      <c r="A203" t="s">
        <v>477</v>
      </c>
      <c r="B203">
        <v>9291</v>
      </c>
      <c r="C203">
        <v>1</v>
      </c>
      <c r="D203" t="s">
        <v>862</v>
      </c>
    </row>
    <row r="204" spans="1:4" x14ac:dyDescent="0.3">
      <c r="A204" t="s">
        <v>477</v>
      </c>
      <c r="B204">
        <v>9291</v>
      </c>
      <c r="C204">
        <v>1</v>
      </c>
      <c r="D204" t="s">
        <v>862</v>
      </c>
    </row>
    <row r="205" spans="1:4" x14ac:dyDescent="0.3">
      <c r="A205" t="s">
        <v>477</v>
      </c>
      <c r="B205">
        <v>9291</v>
      </c>
      <c r="C205">
        <v>1</v>
      </c>
      <c r="D205" t="s">
        <v>862</v>
      </c>
    </row>
    <row r="206" spans="1:4" x14ac:dyDescent="0.3">
      <c r="A206" t="s">
        <v>477</v>
      </c>
      <c r="B206">
        <v>6355</v>
      </c>
      <c r="C206">
        <v>1</v>
      </c>
      <c r="D206" t="s">
        <v>855</v>
      </c>
    </row>
    <row r="207" spans="1:4" x14ac:dyDescent="0.3">
      <c r="A207" t="s">
        <v>477</v>
      </c>
      <c r="B207">
        <v>5218</v>
      </c>
      <c r="C207">
        <v>1</v>
      </c>
      <c r="D207" t="s">
        <v>860</v>
      </c>
    </row>
    <row r="208" spans="1:4" x14ac:dyDescent="0.3">
      <c r="A208" t="s">
        <v>477</v>
      </c>
      <c r="B208">
        <v>5351</v>
      </c>
      <c r="C208">
        <v>1</v>
      </c>
      <c r="D208" t="s">
        <v>855</v>
      </c>
    </row>
    <row r="209" spans="1:4" x14ac:dyDescent="0.3">
      <c r="A209" t="s">
        <v>477</v>
      </c>
      <c r="B209">
        <v>4888</v>
      </c>
      <c r="C209">
        <v>1</v>
      </c>
      <c r="D209" t="s">
        <v>860</v>
      </c>
    </row>
    <row r="210" spans="1:4" x14ac:dyDescent="0.3">
      <c r="A210" t="s">
        <v>477</v>
      </c>
      <c r="B210">
        <v>4888</v>
      </c>
      <c r="C210">
        <v>1</v>
      </c>
      <c r="D210" t="s">
        <v>860</v>
      </c>
    </row>
    <row r="211" spans="1:4" x14ac:dyDescent="0.3">
      <c r="A211" t="s">
        <v>477</v>
      </c>
      <c r="B211">
        <v>4888</v>
      </c>
      <c r="C211">
        <v>1</v>
      </c>
      <c r="D211" t="s">
        <v>860</v>
      </c>
    </row>
    <row r="212" spans="1:4" x14ac:dyDescent="0.3">
      <c r="A212" t="s">
        <v>477</v>
      </c>
      <c r="B212">
        <v>4888</v>
      </c>
      <c r="C212">
        <v>1</v>
      </c>
      <c r="D212" t="s">
        <v>860</v>
      </c>
    </row>
    <row r="213" spans="1:4" x14ac:dyDescent="0.3">
      <c r="A213" t="s">
        <v>477</v>
      </c>
      <c r="B213">
        <v>5199</v>
      </c>
      <c r="C213">
        <v>1</v>
      </c>
      <c r="D213" t="s">
        <v>855</v>
      </c>
    </row>
    <row r="214" spans="1:4" x14ac:dyDescent="0.3">
      <c r="A214" t="s">
        <v>477</v>
      </c>
      <c r="B214">
        <v>3471</v>
      </c>
      <c r="C214">
        <v>1</v>
      </c>
      <c r="D214" t="s">
        <v>860</v>
      </c>
    </row>
    <row r="215" spans="1:4" x14ac:dyDescent="0.3">
      <c r="A215" t="s">
        <v>477</v>
      </c>
      <c r="B215">
        <v>5889</v>
      </c>
      <c r="C215">
        <v>1</v>
      </c>
      <c r="D215" t="s">
        <v>855</v>
      </c>
    </row>
    <row r="216" spans="1:4" x14ac:dyDescent="0.3">
      <c r="A216" t="s">
        <v>477</v>
      </c>
      <c r="B216">
        <v>4680</v>
      </c>
      <c r="C216">
        <v>1</v>
      </c>
      <c r="D216" t="s">
        <v>860</v>
      </c>
    </row>
    <row r="217" spans="1:4" x14ac:dyDescent="0.3">
      <c r="A217" t="s">
        <v>477</v>
      </c>
      <c r="B217">
        <v>5199</v>
      </c>
      <c r="C217">
        <v>1</v>
      </c>
      <c r="D217" t="s">
        <v>855</v>
      </c>
    </row>
    <row r="218" spans="1:4" x14ac:dyDescent="0.3">
      <c r="A218" t="s">
        <v>477</v>
      </c>
      <c r="B218">
        <v>3471</v>
      </c>
      <c r="C218">
        <v>1</v>
      </c>
      <c r="D218" t="s">
        <v>860</v>
      </c>
    </row>
    <row r="219" spans="1:4" x14ac:dyDescent="0.3">
      <c r="A219" t="s">
        <v>477</v>
      </c>
      <c r="B219">
        <v>4680</v>
      </c>
      <c r="C219">
        <v>1</v>
      </c>
      <c r="D219" t="s">
        <v>860</v>
      </c>
    </row>
    <row r="220" spans="1:4" x14ac:dyDescent="0.3">
      <c r="A220" t="s">
        <v>477</v>
      </c>
      <c r="B220">
        <v>5889</v>
      </c>
      <c r="C220">
        <v>1</v>
      </c>
      <c r="D220" t="s">
        <v>855</v>
      </c>
    </row>
    <row r="221" spans="1:4" x14ac:dyDescent="0.3">
      <c r="A221" t="s">
        <v>477</v>
      </c>
      <c r="B221">
        <v>6355</v>
      </c>
      <c r="C221">
        <v>1</v>
      </c>
      <c r="D221" t="s">
        <v>855</v>
      </c>
    </row>
    <row r="222" spans="1:4" x14ac:dyDescent="0.3">
      <c r="A222" t="s">
        <v>477</v>
      </c>
      <c r="B222">
        <v>5218</v>
      </c>
      <c r="C222">
        <v>1</v>
      </c>
      <c r="D222" t="s">
        <v>855</v>
      </c>
    </row>
    <row r="223" spans="1:4" x14ac:dyDescent="0.3">
      <c r="A223" t="s">
        <v>477</v>
      </c>
      <c r="B223">
        <v>9200</v>
      </c>
      <c r="C223">
        <v>1</v>
      </c>
      <c r="D223" t="s">
        <v>854</v>
      </c>
    </row>
    <row r="224" spans="1:4" x14ac:dyDescent="0.3">
      <c r="A224" t="s">
        <v>477</v>
      </c>
      <c r="B224">
        <v>2192</v>
      </c>
      <c r="C224">
        <v>1</v>
      </c>
      <c r="D224" t="s">
        <v>861</v>
      </c>
    </row>
    <row r="225" spans="1:4" x14ac:dyDescent="0.3">
      <c r="A225" t="s">
        <v>477</v>
      </c>
      <c r="B225">
        <v>3701</v>
      </c>
      <c r="C225">
        <v>1</v>
      </c>
      <c r="D225" t="s">
        <v>860</v>
      </c>
    </row>
    <row r="226" spans="1:4" x14ac:dyDescent="0.3">
      <c r="A226" t="s">
        <v>477</v>
      </c>
      <c r="B226">
        <v>4694</v>
      </c>
      <c r="C226">
        <v>1</v>
      </c>
      <c r="D226" t="s">
        <v>860</v>
      </c>
    </row>
    <row r="227" spans="1:4" x14ac:dyDescent="0.3">
      <c r="A227" t="s">
        <v>477</v>
      </c>
      <c r="B227">
        <v>3701</v>
      </c>
      <c r="C227">
        <v>1</v>
      </c>
      <c r="D227" t="s">
        <v>860</v>
      </c>
    </row>
    <row r="228" spans="1:4" x14ac:dyDescent="0.3">
      <c r="A228" t="s">
        <v>477</v>
      </c>
      <c r="B228">
        <v>4694</v>
      </c>
      <c r="C228">
        <v>1</v>
      </c>
      <c r="D228" t="s">
        <v>860</v>
      </c>
    </row>
    <row r="229" spans="1:4" x14ac:dyDescent="0.3">
      <c r="A229" t="s">
        <v>477</v>
      </c>
      <c r="B229">
        <v>5038</v>
      </c>
      <c r="C229">
        <v>1</v>
      </c>
      <c r="D229" t="s">
        <v>860</v>
      </c>
    </row>
    <row r="230" spans="1:4" x14ac:dyDescent="0.3">
      <c r="A230" t="s">
        <v>477</v>
      </c>
      <c r="B230">
        <v>7566</v>
      </c>
      <c r="C230">
        <v>1</v>
      </c>
      <c r="D230" t="s">
        <v>854</v>
      </c>
    </row>
    <row r="231" spans="1:4" x14ac:dyDescent="0.3">
      <c r="A231" t="s">
        <v>477</v>
      </c>
      <c r="B231">
        <v>9200</v>
      </c>
      <c r="C231">
        <v>1</v>
      </c>
      <c r="D231" t="s">
        <v>854</v>
      </c>
    </row>
    <row r="232" spans="1:4" x14ac:dyDescent="0.3">
      <c r="A232" t="s">
        <v>477</v>
      </c>
      <c r="B232">
        <v>9200</v>
      </c>
      <c r="C232">
        <v>1</v>
      </c>
      <c r="D232" t="s">
        <v>854</v>
      </c>
    </row>
    <row r="233" spans="1:4" x14ac:dyDescent="0.3">
      <c r="A233" t="s">
        <v>477</v>
      </c>
      <c r="B233">
        <v>5351</v>
      </c>
      <c r="C233">
        <v>1</v>
      </c>
      <c r="D233" t="s">
        <v>855</v>
      </c>
    </row>
    <row r="234" spans="1:4" x14ac:dyDescent="0.3">
      <c r="A234" t="s">
        <v>477</v>
      </c>
      <c r="B234">
        <v>9200</v>
      </c>
      <c r="C234">
        <v>1</v>
      </c>
      <c r="D234" t="s">
        <v>854</v>
      </c>
    </row>
    <row r="235" spans="1:4" x14ac:dyDescent="0.3">
      <c r="A235" t="s">
        <v>477</v>
      </c>
      <c r="B235">
        <v>6355</v>
      </c>
      <c r="C235">
        <v>1</v>
      </c>
      <c r="D235" t="s">
        <v>855</v>
      </c>
    </row>
    <row r="236" spans="1:4" x14ac:dyDescent="0.3">
      <c r="A236" t="s">
        <v>477</v>
      </c>
      <c r="B236">
        <v>5218</v>
      </c>
      <c r="C236">
        <v>1</v>
      </c>
      <c r="D236" t="s">
        <v>860</v>
      </c>
    </row>
    <row r="237" spans="1:4" x14ac:dyDescent="0.3">
      <c r="A237" t="s">
        <v>477</v>
      </c>
      <c r="B237">
        <v>7566</v>
      </c>
      <c r="C237">
        <v>1</v>
      </c>
      <c r="D237" t="s">
        <v>854</v>
      </c>
    </row>
    <row r="238" spans="1:4" x14ac:dyDescent="0.3">
      <c r="A238" t="s">
        <v>477</v>
      </c>
      <c r="B238">
        <v>3005</v>
      </c>
      <c r="C238">
        <v>1</v>
      </c>
      <c r="D238" t="s">
        <v>861</v>
      </c>
    </row>
    <row r="239" spans="1:4" x14ac:dyDescent="0.3">
      <c r="A239" t="s">
        <v>477</v>
      </c>
      <c r="B239">
        <v>7639</v>
      </c>
      <c r="C239">
        <v>1</v>
      </c>
      <c r="D239" t="s">
        <v>854</v>
      </c>
    </row>
    <row r="240" spans="1:4" x14ac:dyDescent="0.3">
      <c r="A240" t="s">
        <v>477</v>
      </c>
      <c r="B240">
        <v>3005</v>
      </c>
      <c r="C240">
        <v>1</v>
      </c>
      <c r="D240" t="s">
        <v>861</v>
      </c>
    </row>
    <row r="241" spans="1:4" x14ac:dyDescent="0.3">
      <c r="A241" t="s">
        <v>477</v>
      </c>
      <c r="B241">
        <v>7578</v>
      </c>
      <c r="C241">
        <v>1</v>
      </c>
      <c r="D241" t="s">
        <v>854</v>
      </c>
    </row>
    <row r="242" spans="1:4" x14ac:dyDescent="0.3">
      <c r="A242" t="s">
        <v>477</v>
      </c>
      <c r="B242">
        <v>2065</v>
      </c>
      <c r="C242">
        <v>1</v>
      </c>
      <c r="D242" t="s">
        <v>861</v>
      </c>
    </row>
    <row r="243" spans="1:4" x14ac:dyDescent="0.3">
      <c r="A243" t="s">
        <v>477</v>
      </c>
      <c r="B243">
        <v>2215</v>
      </c>
      <c r="C243">
        <v>1</v>
      </c>
      <c r="D243" t="s">
        <v>861</v>
      </c>
    </row>
    <row r="244" spans="1:4" x14ac:dyDescent="0.3">
      <c r="A244" t="s">
        <v>477</v>
      </c>
      <c r="B244">
        <v>3701</v>
      </c>
      <c r="C244">
        <v>1</v>
      </c>
      <c r="D244" t="s">
        <v>860</v>
      </c>
    </row>
    <row r="245" spans="1:4" x14ac:dyDescent="0.3">
      <c r="A245" t="s">
        <v>477</v>
      </c>
      <c r="B245">
        <v>4759</v>
      </c>
      <c r="C245">
        <v>1</v>
      </c>
      <c r="D245" t="s">
        <v>860</v>
      </c>
    </row>
    <row r="246" spans="1:4" x14ac:dyDescent="0.3">
      <c r="A246" t="s">
        <v>477</v>
      </c>
      <c r="B246">
        <v>3701</v>
      </c>
      <c r="C246">
        <v>1</v>
      </c>
      <c r="D246" t="s">
        <v>860</v>
      </c>
    </row>
    <row r="247" spans="1:4" x14ac:dyDescent="0.3">
      <c r="A247" t="s">
        <v>477</v>
      </c>
      <c r="B247">
        <v>4680</v>
      </c>
      <c r="C247">
        <v>1</v>
      </c>
      <c r="D247" t="s">
        <v>860</v>
      </c>
    </row>
    <row r="248" spans="1:4" x14ac:dyDescent="0.3">
      <c r="A248" t="s">
        <v>477</v>
      </c>
      <c r="B248">
        <v>5889</v>
      </c>
      <c r="C248">
        <v>1</v>
      </c>
      <c r="D248" t="s">
        <v>855</v>
      </c>
    </row>
    <row r="249" spans="1:4" x14ac:dyDescent="0.3">
      <c r="A249" t="s">
        <v>477</v>
      </c>
      <c r="B249">
        <v>3471</v>
      </c>
      <c r="C249">
        <v>1</v>
      </c>
      <c r="D249" t="s">
        <v>860</v>
      </c>
    </row>
    <row r="250" spans="1:4" x14ac:dyDescent="0.3">
      <c r="A250" t="s">
        <v>477</v>
      </c>
      <c r="B250">
        <v>6459</v>
      </c>
      <c r="C250">
        <v>1</v>
      </c>
      <c r="D250" t="s">
        <v>855</v>
      </c>
    </row>
    <row r="251" spans="1:4" x14ac:dyDescent="0.3">
      <c r="A251" t="s">
        <v>477</v>
      </c>
      <c r="B251">
        <v>4712</v>
      </c>
      <c r="C251">
        <v>1</v>
      </c>
      <c r="D251" t="s">
        <v>860</v>
      </c>
    </row>
    <row r="252" spans="1:4" x14ac:dyDescent="0.3">
      <c r="A252" t="s">
        <v>477</v>
      </c>
      <c r="B252">
        <v>4125</v>
      </c>
      <c r="C252">
        <v>1</v>
      </c>
      <c r="D252" t="s">
        <v>860</v>
      </c>
    </row>
    <row r="253" spans="1:4" x14ac:dyDescent="0.3">
      <c r="A253" t="s">
        <v>477</v>
      </c>
      <c r="B253">
        <v>4900</v>
      </c>
      <c r="C253">
        <v>1</v>
      </c>
      <c r="D253" t="s">
        <v>860</v>
      </c>
    </row>
    <row r="254" spans="1:4" x14ac:dyDescent="0.3">
      <c r="A254" t="s">
        <v>477</v>
      </c>
      <c r="B254">
        <v>7416</v>
      </c>
      <c r="C254">
        <v>1</v>
      </c>
      <c r="D254" t="s">
        <v>854</v>
      </c>
    </row>
    <row r="255" spans="1:4" x14ac:dyDescent="0.3">
      <c r="A255" t="s">
        <v>477</v>
      </c>
      <c r="B255">
        <v>5719</v>
      </c>
      <c r="C255">
        <v>1</v>
      </c>
      <c r="D255" t="s">
        <v>855</v>
      </c>
    </row>
    <row r="256" spans="1:4" x14ac:dyDescent="0.3">
      <c r="A256" t="s">
        <v>477</v>
      </c>
      <c r="B256">
        <v>5218</v>
      </c>
      <c r="C256">
        <v>1</v>
      </c>
      <c r="D256" t="s">
        <v>860</v>
      </c>
    </row>
    <row r="257" spans="1:4" x14ac:dyDescent="0.3">
      <c r="A257" t="s">
        <v>477</v>
      </c>
      <c r="B257">
        <v>9025</v>
      </c>
      <c r="C257">
        <v>1</v>
      </c>
      <c r="D257" t="s">
        <v>854</v>
      </c>
    </row>
    <row r="258" spans="1:4" x14ac:dyDescent="0.3">
      <c r="A258" t="s">
        <v>477</v>
      </c>
      <c r="B258">
        <v>9025</v>
      </c>
      <c r="C258">
        <v>1</v>
      </c>
      <c r="D258" t="s">
        <v>854</v>
      </c>
    </row>
    <row r="259" spans="1:4" x14ac:dyDescent="0.3">
      <c r="A259" t="s">
        <v>477</v>
      </c>
      <c r="B259">
        <v>2140</v>
      </c>
      <c r="C259">
        <v>1</v>
      </c>
      <c r="D259" t="s">
        <v>861</v>
      </c>
    </row>
    <row r="260" spans="1:4" x14ac:dyDescent="0.3">
      <c r="A260" t="s">
        <v>477</v>
      </c>
      <c r="B260">
        <v>7286</v>
      </c>
      <c r="C260">
        <v>1</v>
      </c>
      <c r="D260" t="s">
        <v>854</v>
      </c>
    </row>
    <row r="261" spans="1:4" x14ac:dyDescent="0.3">
      <c r="A261" t="s">
        <v>477</v>
      </c>
      <c r="B261">
        <v>7639</v>
      </c>
      <c r="C261">
        <v>1</v>
      </c>
      <c r="D261" t="s">
        <v>854</v>
      </c>
    </row>
    <row r="262" spans="1:4" x14ac:dyDescent="0.3">
      <c r="A262" t="s">
        <v>477</v>
      </c>
      <c r="B262">
        <v>4740</v>
      </c>
      <c r="C262">
        <v>1</v>
      </c>
      <c r="D262" t="s">
        <v>860</v>
      </c>
    </row>
    <row r="263" spans="1:4" x14ac:dyDescent="0.3">
      <c r="A263" t="s">
        <v>477</v>
      </c>
      <c r="B263">
        <v>7578</v>
      </c>
      <c r="C263">
        <v>1</v>
      </c>
      <c r="D263" t="s">
        <v>854</v>
      </c>
    </row>
    <row r="264" spans="1:4" x14ac:dyDescent="0.3">
      <c r="A264" t="s">
        <v>477</v>
      </c>
      <c r="B264">
        <v>1856</v>
      </c>
      <c r="C264">
        <v>1</v>
      </c>
      <c r="D264" t="s">
        <v>861</v>
      </c>
    </row>
    <row r="265" spans="1:4" x14ac:dyDescent="0.3">
      <c r="A265" t="s">
        <v>477</v>
      </c>
      <c r="B265">
        <v>8234</v>
      </c>
      <c r="C265">
        <v>1</v>
      </c>
      <c r="D265" t="s">
        <v>854</v>
      </c>
    </row>
    <row r="266" spans="1:4" x14ac:dyDescent="0.3">
      <c r="A266" t="s">
        <v>477</v>
      </c>
      <c r="B266">
        <v>4759</v>
      </c>
      <c r="C266">
        <v>1</v>
      </c>
      <c r="D266" t="s">
        <v>860</v>
      </c>
    </row>
    <row r="267" spans="1:4" x14ac:dyDescent="0.3">
      <c r="A267" t="s">
        <v>477</v>
      </c>
      <c r="B267">
        <v>7639</v>
      </c>
      <c r="C267">
        <v>1</v>
      </c>
      <c r="D267" t="s">
        <v>854</v>
      </c>
    </row>
    <row r="268" spans="1:4" x14ac:dyDescent="0.3">
      <c r="A268" t="s">
        <v>477</v>
      </c>
      <c r="B268">
        <v>5368</v>
      </c>
      <c r="C268">
        <v>1</v>
      </c>
      <c r="D268" t="s">
        <v>855</v>
      </c>
    </row>
    <row r="269" spans="1:4" x14ac:dyDescent="0.3">
      <c r="A269" t="s">
        <v>477</v>
      </c>
      <c r="B269">
        <v>2884</v>
      </c>
      <c r="C269">
        <v>1</v>
      </c>
      <c r="D269" t="s">
        <v>861</v>
      </c>
    </row>
    <row r="270" spans="1:4" x14ac:dyDescent="0.3">
      <c r="A270" t="s">
        <v>477</v>
      </c>
      <c r="B270">
        <v>7578</v>
      </c>
      <c r="C270">
        <v>1</v>
      </c>
      <c r="D270" t="s">
        <v>854</v>
      </c>
    </row>
    <row r="271" spans="1:4" x14ac:dyDescent="0.3">
      <c r="A271" t="s">
        <v>477</v>
      </c>
      <c r="B271">
        <v>2884</v>
      </c>
      <c r="C271">
        <v>1</v>
      </c>
      <c r="D271" t="s">
        <v>861</v>
      </c>
    </row>
    <row r="272" spans="1:4" x14ac:dyDescent="0.3">
      <c r="A272" t="s">
        <v>477</v>
      </c>
      <c r="B272">
        <v>8234</v>
      </c>
      <c r="C272">
        <v>1</v>
      </c>
      <c r="D272" t="s">
        <v>854</v>
      </c>
    </row>
    <row r="273" spans="1:4" x14ac:dyDescent="0.3">
      <c r="A273" t="s">
        <v>477</v>
      </c>
      <c r="B273">
        <v>5368</v>
      </c>
      <c r="C273">
        <v>1</v>
      </c>
      <c r="D273" t="s">
        <v>855</v>
      </c>
    </row>
    <row r="274" spans="1:4" x14ac:dyDescent="0.3">
      <c r="A274" t="s">
        <v>477</v>
      </c>
      <c r="B274">
        <v>5368</v>
      </c>
      <c r="C274">
        <v>1</v>
      </c>
      <c r="D274" t="s">
        <v>855</v>
      </c>
    </row>
    <row r="275" spans="1:4" ht="15" thickBot="1" x14ac:dyDescent="0.35"/>
    <row r="276" spans="1:4" x14ac:dyDescent="0.3">
      <c r="A276" s="176" t="s">
        <v>863</v>
      </c>
      <c r="B276" s="177">
        <v>890074</v>
      </c>
      <c r="C276" s="178" t="s">
        <v>857</v>
      </c>
    </row>
    <row r="277" spans="1:4" x14ac:dyDescent="0.3">
      <c r="A277" s="179"/>
      <c r="B277" s="180">
        <v>890.07399999999996</v>
      </c>
      <c r="C277" s="181" t="s">
        <v>1</v>
      </c>
    </row>
    <row r="278" spans="1:4" x14ac:dyDescent="0.3">
      <c r="A278" s="179" t="s">
        <v>864</v>
      </c>
      <c r="B278" s="180">
        <v>35602.959999999999</v>
      </c>
      <c r="C278" s="181" t="s">
        <v>859</v>
      </c>
    </row>
    <row r="279" spans="1:4" x14ac:dyDescent="0.3">
      <c r="A279" s="179"/>
      <c r="B279" s="180">
        <v>35.602960000000003</v>
      </c>
      <c r="C279" s="181" t="s">
        <v>472</v>
      </c>
    </row>
    <row r="280" spans="1:4" ht="15" thickBot="1" x14ac:dyDescent="0.35">
      <c r="A280" s="182"/>
      <c r="B280" s="183">
        <v>836.66956000000005</v>
      </c>
      <c r="C280" s="184" t="s">
        <v>56</v>
      </c>
    </row>
    <row r="282" spans="1:4" x14ac:dyDescent="0.3">
      <c r="A282" s="175" t="s">
        <v>481</v>
      </c>
    </row>
    <row r="283" spans="1:4" x14ac:dyDescent="0.3">
      <c r="A283" t="s">
        <v>865</v>
      </c>
      <c r="B283">
        <v>12.1</v>
      </c>
      <c r="C283">
        <v>125.235</v>
      </c>
      <c r="D283" t="s">
        <v>1</v>
      </c>
    </row>
    <row r="284" spans="1:4" x14ac:dyDescent="0.3">
      <c r="A284" t="s">
        <v>866</v>
      </c>
      <c r="B284">
        <v>11.42</v>
      </c>
      <c r="C284">
        <v>90.103800000000007</v>
      </c>
      <c r="D284" t="s">
        <v>1</v>
      </c>
    </row>
    <row r="285" spans="1:4" x14ac:dyDescent="0.3">
      <c r="A285" t="s">
        <v>867</v>
      </c>
      <c r="B285">
        <v>3.68</v>
      </c>
      <c r="C285">
        <v>13.505599999999999</v>
      </c>
      <c r="D285" t="s">
        <v>1</v>
      </c>
    </row>
    <row r="286" spans="1:4" x14ac:dyDescent="0.3">
      <c r="A286" t="s">
        <v>868</v>
      </c>
      <c r="B286">
        <v>14.426666669999999</v>
      </c>
      <c r="C286">
        <v>337.15120000000002</v>
      </c>
      <c r="D286" t="s">
        <v>1</v>
      </c>
    </row>
    <row r="287" spans="1:4" x14ac:dyDescent="0.3">
      <c r="A287" t="s">
        <v>869</v>
      </c>
      <c r="B287">
        <v>11.75333333</v>
      </c>
      <c r="C287">
        <v>99.55073333</v>
      </c>
      <c r="D287" t="s">
        <v>1</v>
      </c>
    </row>
    <row r="288" spans="1:4" x14ac:dyDescent="0.3">
      <c r="A288" t="s">
        <v>870</v>
      </c>
      <c r="B288">
        <v>9.8333333330000006</v>
      </c>
      <c r="C288">
        <v>97.841666669999995</v>
      </c>
      <c r="D288" t="s">
        <v>1</v>
      </c>
    </row>
    <row r="289" spans="1:4" x14ac:dyDescent="0.3">
      <c r="A289" t="s">
        <v>871</v>
      </c>
      <c r="B289">
        <v>3.653333333</v>
      </c>
      <c r="C289">
        <v>14.10186667</v>
      </c>
      <c r="D289" t="s">
        <v>1</v>
      </c>
    </row>
    <row r="290" spans="1:4" ht="15" thickBot="1" x14ac:dyDescent="0.35"/>
    <row r="291" spans="1:4" x14ac:dyDescent="0.3">
      <c r="A291" s="176" t="s">
        <v>872</v>
      </c>
      <c r="B291" s="177"/>
      <c r="C291" s="177">
        <v>777.48986669999999</v>
      </c>
      <c r="D291" s="178" t="s">
        <v>1</v>
      </c>
    </row>
    <row r="292" spans="1:4" x14ac:dyDescent="0.3">
      <c r="A292" s="179"/>
      <c r="B292" s="180" t="s">
        <v>873</v>
      </c>
      <c r="C292" s="180">
        <v>3972.973219</v>
      </c>
      <c r="D292" s="181" t="s">
        <v>859</v>
      </c>
    </row>
    <row r="293" spans="1:4" x14ac:dyDescent="0.3">
      <c r="A293" s="179"/>
      <c r="B293" s="180"/>
      <c r="C293" s="180">
        <v>3.972973219</v>
      </c>
      <c r="D293" s="181" t="s">
        <v>472</v>
      </c>
    </row>
    <row r="294" spans="1:4" ht="15" thickBot="1" x14ac:dyDescent="0.35">
      <c r="A294" s="182"/>
      <c r="B294" s="183"/>
      <c r="C294" s="183">
        <v>295.4461493</v>
      </c>
      <c r="D294" s="184" t="s">
        <v>56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C48E09-D56C-44E9-B255-54A47508A966}">
  <dimension ref="A1:I48"/>
  <sheetViews>
    <sheetView workbookViewId="0">
      <selection activeCell="F22" sqref="F22"/>
    </sheetView>
  </sheetViews>
  <sheetFormatPr defaultRowHeight="14.4" x14ac:dyDescent="0.3"/>
  <cols>
    <col min="1" max="1" width="28.77734375" customWidth="1"/>
    <col min="2" max="4" width="10.44140625" customWidth="1"/>
  </cols>
  <sheetData>
    <row r="1" spans="1:9" x14ac:dyDescent="0.3">
      <c r="A1" s="190" t="s">
        <v>874</v>
      </c>
      <c r="B1" s="191" t="s">
        <v>875</v>
      </c>
      <c r="C1" s="191" t="s">
        <v>851</v>
      </c>
      <c r="D1" s="191" t="s">
        <v>876</v>
      </c>
    </row>
    <row r="2" spans="1:9" x14ac:dyDescent="0.3">
      <c r="A2" s="189" t="s">
        <v>877</v>
      </c>
      <c r="B2" s="185">
        <f>1213.48-3.24-3.22</f>
        <v>1207.02</v>
      </c>
      <c r="C2" s="185">
        <v>0</v>
      </c>
      <c r="D2" s="185">
        <v>0</v>
      </c>
    </row>
    <row r="3" spans="1:9" x14ac:dyDescent="0.3">
      <c r="A3" s="189" t="s">
        <v>878</v>
      </c>
      <c r="B3" s="185">
        <v>808</v>
      </c>
      <c r="C3" s="185">
        <v>0</v>
      </c>
      <c r="D3" s="185">
        <v>0</v>
      </c>
    </row>
    <row r="4" spans="1:9" x14ac:dyDescent="0.3">
      <c r="A4" s="189" t="s">
        <v>879</v>
      </c>
      <c r="B4" s="185">
        <f>C4*D4</f>
        <v>168.5855</v>
      </c>
      <c r="C4" s="185">
        <v>17.47</v>
      </c>
      <c r="D4" s="185">
        <v>9.65</v>
      </c>
    </row>
    <row r="5" spans="1:9" x14ac:dyDescent="0.3">
      <c r="A5" s="189" t="s">
        <v>880</v>
      </c>
      <c r="B5" s="185">
        <f>C5*D5</f>
        <v>140.01399999999998</v>
      </c>
      <c r="C5" s="185">
        <v>14.6</v>
      </c>
      <c r="D5" s="185">
        <v>9.59</v>
      </c>
    </row>
    <row r="6" spans="1:9" x14ac:dyDescent="0.3">
      <c r="A6" s="189" t="s">
        <v>881</v>
      </c>
      <c r="B6" s="185">
        <v>53.95</v>
      </c>
      <c r="C6" s="185">
        <v>0</v>
      </c>
      <c r="D6" s="185">
        <v>0</v>
      </c>
      <c r="G6" s="186"/>
    </row>
    <row r="7" spans="1:9" x14ac:dyDescent="0.3">
      <c r="A7" s="189" t="s">
        <v>882</v>
      </c>
      <c r="B7" s="185">
        <v>56.55</v>
      </c>
      <c r="C7" s="185">
        <v>0</v>
      </c>
      <c r="D7" s="185">
        <v>0</v>
      </c>
      <c r="G7" s="186"/>
    </row>
    <row r="8" spans="1:9" x14ac:dyDescent="0.3">
      <c r="A8" s="189" t="s">
        <v>883</v>
      </c>
      <c r="B8" s="185">
        <v>56.55</v>
      </c>
      <c r="C8" s="185">
        <v>0</v>
      </c>
      <c r="D8" s="185">
        <v>0</v>
      </c>
    </row>
    <row r="9" spans="1:9" x14ac:dyDescent="0.3">
      <c r="A9" s="189" t="s">
        <v>884</v>
      </c>
      <c r="B9" s="185">
        <f t="shared" ref="B9:B15" si="0">C9*D9</f>
        <v>60.817500000000003</v>
      </c>
      <c r="C9" s="185">
        <v>7.65</v>
      </c>
      <c r="D9" s="185">
        <v>7.95</v>
      </c>
    </row>
    <row r="10" spans="1:9" x14ac:dyDescent="0.3">
      <c r="A10" s="189" t="s">
        <v>885</v>
      </c>
      <c r="B10" s="185">
        <f t="shared" si="0"/>
        <v>60.435000000000002</v>
      </c>
      <c r="C10" s="185">
        <v>7.65</v>
      </c>
      <c r="D10" s="185">
        <v>7.9</v>
      </c>
    </row>
    <row r="11" spans="1:9" x14ac:dyDescent="0.3">
      <c r="A11" s="189" t="s">
        <v>886</v>
      </c>
      <c r="B11" s="185">
        <v>56.63</v>
      </c>
      <c r="C11" s="185">
        <v>0</v>
      </c>
      <c r="D11" s="185">
        <v>0</v>
      </c>
    </row>
    <row r="12" spans="1:9" x14ac:dyDescent="0.3">
      <c r="A12" s="189" t="s">
        <v>887</v>
      </c>
      <c r="B12" s="185">
        <v>56.62</v>
      </c>
      <c r="C12" s="185">
        <v>0</v>
      </c>
      <c r="D12" s="185">
        <v>0</v>
      </c>
    </row>
    <row r="13" spans="1:9" x14ac:dyDescent="0.3">
      <c r="A13" s="189" t="s">
        <v>888</v>
      </c>
      <c r="B13" s="185">
        <f t="shared" si="0"/>
        <v>60.817500000000003</v>
      </c>
      <c r="C13" s="185">
        <v>7.65</v>
      </c>
      <c r="D13" s="185">
        <v>7.95</v>
      </c>
      <c r="I13" s="186"/>
    </row>
    <row r="14" spans="1:9" x14ac:dyDescent="0.3">
      <c r="A14" s="189" t="s">
        <v>889</v>
      </c>
      <c r="B14" s="185">
        <f t="shared" si="0"/>
        <v>47.15</v>
      </c>
      <c r="C14" s="185">
        <v>5.75</v>
      </c>
      <c r="D14" s="185">
        <v>8.1999999999999993</v>
      </c>
    </row>
    <row r="15" spans="1:9" x14ac:dyDescent="0.3">
      <c r="A15" s="189" t="s">
        <v>890</v>
      </c>
      <c r="B15" s="185">
        <f t="shared" si="0"/>
        <v>42.344000000000001</v>
      </c>
      <c r="C15" s="185">
        <v>5.36</v>
      </c>
      <c r="D15" s="185">
        <v>7.9</v>
      </c>
    </row>
    <row r="16" spans="1:9" x14ac:dyDescent="0.3">
      <c r="A16" s="189" t="s">
        <v>891</v>
      </c>
      <c r="B16" s="185">
        <f>C16*D16</f>
        <v>18.684000000000001</v>
      </c>
      <c r="C16" s="185">
        <v>5.4</v>
      </c>
      <c r="D16" s="185">
        <v>3.46</v>
      </c>
    </row>
    <row r="17" spans="1:4" x14ac:dyDescent="0.3">
      <c r="A17" s="189" t="s">
        <v>892</v>
      </c>
      <c r="B17" s="185">
        <f>C17*D17</f>
        <v>18.975000000000001</v>
      </c>
      <c r="C17" s="185">
        <v>3.45</v>
      </c>
      <c r="D17" s="185">
        <v>5.5</v>
      </c>
    </row>
    <row r="18" spans="1:4" x14ac:dyDescent="0.3">
      <c r="A18" s="189" t="s">
        <v>893</v>
      </c>
      <c r="B18" s="185">
        <f>C18*D18</f>
        <v>18.684000000000001</v>
      </c>
      <c r="C18" s="185">
        <v>3.46</v>
      </c>
      <c r="D18" s="185">
        <v>5.4</v>
      </c>
    </row>
    <row r="19" spans="1:4" x14ac:dyDescent="0.3">
      <c r="A19" s="189" t="s">
        <v>894</v>
      </c>
      <c r="B19" s="185">
        <f>C19*D19</f>
        <v>18.5563</v>
      </c>
      <c r="C19" s="185">
        <v>3.43</v>
      </c>
      <c r="D19" s="185">
        <v>5.41</v>
      </c>
    </row>
    <row r="20" spans="1:4" x14ac:dyDescent="0.3">
      <c r="A20" s="189" t="s">
        <v>895</v>
      </c>
      <c r="B20" s="185">
        <f>C20*D20</f>
        <v>18.130000000000003</v>
      </c>
      <c r="C20" s="185">
        <v>4.9000000000000004</v>
      </c>
      <c r="D20" s="185">
        <v>3.7</v>
      </c>
    </row>
    <row r="21" spans="1:4" x14ac:dyDescent="0.3">
      <c r="A21" s="189" t="s">
        <v>896</v>
      </c>
      <c r="B21" s="185">
        <f t="shared" ref="B21:B33" si="1">C21*D21</f>
        <v>20.656700000000001</v>
      </c>
      <c r="C21" s="185">
        <v>4.93</v>
      </c>
      <c r="D21" s="185">
        <v>4.1900000000000004</v>
      </c>
    </row>
    <row r="22" spans="1:4" x14ac:dyDescent="0.3">
      <c r="A22" s="189" t="s">
        <v>897</v>
      </c>
      <c r="B22" s="185">
        <f t="shared" si="1"/>
        <v>20.656700000000001</v>
      </c>
      <c r="C22" s="185">
        <v>4.93</v>
      </c>
      <c r="D22" s="185">
        <v>4.1900000000000004</v>
      </c>
    </row>
    <row r="23" spans="1:4" x14ac:dyDescent="0.3">
      <c r="A23" s="189" t="s">
        <v>898</v>
      </c>
      <c r="B23" s="185">
        <f t="shared" si="1"/>
        <v>4.51</v>
      </c>
      <c r="C23" s="185">
        <v>1.64</v>
      </c>
      <c r="D23" s="185">
        <v>2.75</v>
      </c>
    </row>
    <row r="24" spans="1:4" x14ac:dyDescent="0.3">
      <c r="A24" s="189" t="s">
        <v>899</v>
      </c>
      <c r="B24" s="185">
        <f t="shared" si="1"/>
        <v>2.415</v>
      </c>
      <c r="C24" s="185">
        <v>1.1499999999999999</v>
      </c>
      <c r="D24" s="185">
        <v>2.1</v>
      </c>
    </row>
    <row r="25" spans="1:4" x14ac:dyDescent="0.3">
      <c r="A25" s="189" t="s">
        <v>900</v>
      </c>
      <c r="B25" s="185">
        <v>3.24</v>
      </c>
      <c r="C25" s="185">
        <v>0</v>
      </c>
      <c r="D25" s="185">
        <v>0</v>
      </c>
    </row>
    <row r="26" spans="1:4" x14ac:dyDescent="0.3">
      <c r="A26" s="189" t="s">
        <v>901</v>
      </c>
      <c r="B26" s="185">
        <v>3.22</v>
      </c>
      <c r="C26" s="185">
        <v>0</v>
      </c>
      <c r="D26" s="185">
        <v>0</v>
      </c>
    </row>
    <row r="27" spans="1:4" x14ac:dyDescent="0.3">
      <c r="A27" s="189" t="s">
        <v>902</v>
      </c>
      <c r="B27" s="185">
        <f t="shared" si="1"/>
        <v>29.981999999999996</v>
      </c>
      <c r="C27" s="185">
        <v>3.8</v>
      </c>
      <c r="D27" s="185">
        <v>7.89</v>
      </c>
    </row>
    <row r="28" spans="1:4" x14ac:dyDescent="0.3">
      <c r="A28" s="189" t="s">
        <v>903</v>
      </c>
      <c r="B28" s="185">
        <v>409.31</v>
      </c>
      <c r="C28" s="185">
        <v>0</v>
      </c>
      <c r="D28" s="185">
        <v>0</v>
      </c>
    </row>
    <row r="29" spans="1:4" x14ac:dyDescent="0.3">
      <c r="A29" s="189" t="s">
        <v>904</v>
      </c>
      <c r="B29" s="185">
        <v>345.14</v>
      </c>
      <c r="C29" s="185">
        <v>0</v>
      </c>
      <c r="D29" s="185">
        <v>0</v>
      </c>
    </row>
    <row r="30" spans="1:4" x14ac:dyDescent="0.3">
      <c r="A30" s="189" t="s">
        <v>905</v>
      </c>
      <c r="B30" s="185">
        <v>16.59</v>
      </c>
      <c r="C30" s="185">
        <v>0</v>
      </c>
      <c r="D30" s="185">
        <v>0</v>
      </c>
    </row>
    <row r="31" spans="1:4" x14ac:dyDescent="0.3">
      <c r="A31" s="189" t="s">
        <v>906</v>
      </c>
      <c r="B31" s="185">
        <v>10.78</v>
      </c>
      <c r="C31" s="185">
        <v>0</v>
      </c>
      <c r="D31" s="185">
        <v>0</v>
      </c>
    </row>
    <row r="32" spans="1:4" x14ac:dyDescent="0.3">
      <c r="A32" s="189" t="s">
        <v>907</v>
      </c>
      <c r="B32" s="185">
        <f t="shared" si="1"/>
        <v>4.1100000000000003</v>
      </c>
      <c r="C32" s="185">
        <v>1.5</v>
      </c>
      <c r="D32" s="185">
        <v>2.74</v>
      </c>
    </row>
    <row r="33" spans="1:4" ht="15" thickBot="1" x14ac:dyDescent="0.35">
      <c r="A33" s="189" t="s">
        <v>908</v>
      </c>
      <c r="B33" s="187">
        <f t="shared" si="1"/>
        <v>6.5760000000000005</v>
      </c>
      <c r="C33" s="185">
        <v>2.4</v>
      </c>
      <c r="D33" s="185">
        <v>2.74</v>
      </c>
    </row>
    <row r="34" spans="1:4" ht="15" thickBot="1" x14ac:dyDescent="0.35">
      <c r="B34" s="188">
        <f>SUM(B4:B33)</f>
        <v>1830.6791999999998</v>
      </c>
      <c r="C34" s="186"/>
      <c r="D34" s="186"/>
    </row>
    <row r="35" spans="1:4" x14ac:dyDescent="0.3">
      <c r="B35" s="186"/>
      <c r="C35" s="186"/>
      <c r="D35" s="186"/>
    </row>
    <row r="36" spans="1:4" x14ac:dyDescent="0.3">
      <c r="B36" s="186"/>
      <c r="C36" s="186"/>
      <c r="D36" s="186"/>
    </row>
    <row r="37" spans="1:4" x14ac:dyDescent="0.3">
      <c r="B37" s="186"/>
      <c r="C37" s="186"/>
      <c r="D37" s="186"/>
    </row>
    <row r="38" spans="1:4" x14ac:dyDescent="0.3">
      <c r="B38" s="186"/>
      <c r="C38" s="186"/>
      <c r="D38" s="186"/>
    </row>
    <row r="39" spans="1:4" x14ac:dyDescent="0.3">
      <c r="B39" s="186"/>
      <c r="C39" s="186"/>
      <c r="D39" s="186"/>
    </row>
    <row r="40" spans="1:4" x14ac:dyDescent="0.3">
      <c r="B40" s="186"/>
      <c r="C40" s="186"/>
      <c r="D40" s="186"/>
    </row>
    <row r="41" spans="1:4" x14ac:dyDescent="0.3">
      <c r="B41" s="186"/>
      <c r="C41" s="186"/>
      <c r="D41" s="186"/>
    </row>
    <row r="42" spans="1:4" x14ac:dyDescent="0.3">
      <c r="B42" s="186"/>
      <c r="C42" s="186"/>
      <c r="D42" s="186"/>
    </row>
    <row r="43" spans="1:4" x14ac:dyDescent="0.3">
      <c r="B43" s="186"/>
      <c r="C43" s="186"/>
      <c r="D43" s="186"/>
    </row>
    <row r="44" spans="1:4" x14ac:dyDescent="0.3">
      <c r="B44" s="186"/>
      <c r="C44" s="186"/>
      <c r="D44" s="186"/>
    </row>
    <row r="45" spans="1:4" x14ac:dyDescent="0.3">
      <c r="B45" s="186"/>
      <c r="C45" s="186"/>
      <c r="D45" s="186"/>
    </row>
    <row r="46" spans="1:4" x14ac:dyDescent="0.3">
      <c r="B46" s="186"/>
    </row>
    <row r="47" spans="1:4" x14ac:dyDescent="0.3">
      <c r="B47" s="186"/>
    </row>
    <row r="48" spans="1:4" x14ac:dyDescent="0.3">
      <c r="B48" s="18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Tender Qualifications</vt:lpstr>
      <vt:lpstr>Summary</vt:lpstr>
      <vt:lpstr>Details</vt:lpstr>
      <vt:lpstr>Steel Schedule</vt:lpstr>
      <vt:lpstr>Rooms</vt:lpstr>
    </vt:vector>
  </TitlesOfParts>
  <Company>Eque2</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BQ7 - Bill Summary.</dc:title>
  <dc:creator>EValuate</dc:creator>
  <cp:lastModifiedBy>sophie morgan</cp:lastModifiedBy>
  <cp:lastPrinted>2023-05-01T11:10:23Z</cp:lastPrinted>
  <dcterms:created xsi:type="dcterms:W3CDTF">2021-10-29T14:06:29Z</dcterms:created>
  <dcterms:modified xsi:type="dcterms:W3CDTF">2023-05-01T11:21:45Z</dcterms:modified>
  <cp:category>Report</cp:category>
</cp:coreProperties>
</file>