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2.xml" ContentType="application/vnd.openxmlformats-officedocument.spreadsheetml.work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Rama\Desktop\Uni Assignment Sept 23\"/>
    </mc:Choice>
  </mc:AlternateContent>
  <bookViews>
    <workbookView xWindow="0" yWindow="0" windowWidth="2145" windowHeight="0"/>
  </bookViews>
  <sheets>
    <sheet name="Ratios" sheetId="1" r:id="rId1"/>
    <sheet name="Profitability Ratios 1" sheetId="3" r:id="rId2"/>
    <sheet name="Profitability Ratios 2" sheetId="12" r:id="rId3"/>
    <sheet name="Liquidity Ratios" sheetId="4" r:id="rId4"/>
    <sheet name="Activity Ratio 1" sheetId="5" r:id="rId5"/>
    <sheet name="Activity Ratio 2" sheetId="6" r:id="rId6"/>
    <sheet name="Leverage Ratios" sheetId="7" r:id="rId7"/>
    <sheet name="Investor Ratios 1" sheetId="8" r:id="rId8"/>
    <sheet name="Ratios (MCLAREN)" sheetId="9" r:id="rId9"/>
    <sheet name="AM vs Mclaren Revenue" sheetId="10" r:id="rId10"/>
    <sheet name="AM vs Mclaren Prof 1" sheetId="13" r:id="rId11"/>
    <sheet name="AM vs Mclaren Prof 2" sheetId="14" r:id="rId12"/>
    <sheet name="AM vs Mclaren Prof 3" sheetId="15" r:id="rId13"/>
    <sheet name="AM vs Mclaren Prof 4" sheetId="16" r:id="rId14"/>
    <sheet name="AM vs Mclaren Liquidity" sheetId="11" r:id="rId15"/>
    <sheet name="AM vs Mclaren Leverage " sheetId="17" r:id="rId16"/>
  </sheets>
  <definedNames>
    <definedName name="_xlnm.Print_Area" localSheetId="0">Ratios!$A$1:$J$75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" i="9" l="1"/>
  <c r="O21" i="9"/>
  <c r="K21" i="9"/>
  <c r="N22" i="9"/>
  <c r="M22" i="9"/>
  <c r="L22" i="9"/>
  <c r="K22" i="9"/>
  <c r="N21" i="9"/>
  <c r="M21" i="9"/>
  <c r="L21" i="9"/>
  <c r="H63" i="9"/>
  <c r="G63" i="9"/>
  <c r="F63" i="9"/>
  <c r="E63" i="9"/>
  <c r="D63" i="9"/>
  <c r="F61" i="9"/>
  <c r="H59" i="9"/>
  <c r="H61" i="9" s="1"/>
  <c r="G59" i="9"/>
  <c r="G61" i="9" s="1"/>
  <c r="F59" i="9"/>
  <c r="E59" i="9"/>
  <c r="E61" i="9" s="1"/>
  <c r="D59" i="9"/>
  <c r="D61" i="9" s="1"/>
  <c r="H54" i="9"/>
  <c r="G54" i="9"/>
  <c r="F54" i="9"/>
  <c r="E54" i="9"/>
  <c r="D54" i="9"/>
  <c r="H53" i="9"/>
  <c r="G53" i="9"/>
  <c r="F53" i="9"/>
  <c r="E53" i="9"/>
  <c r="D53" i="9"/>
  <c r="H52" i="9"/>
  <c r="G52" i="9"/>
  <c r="F52" i="9"/>
  <c r="E52" i="9"/>
  <c r="D52" i="9"/>
  <c r="H48" i="9"/>
  <c r="G48" i="9"/>
  <c r="F48" i="9"/>
  <c r="E48" i="9"/>
  <c r="D48" i="9"/>
  <c r="H46" i="9"/>
  <c r="G46" i="9"/>
  <c r="F46" i="9"/>
  <c r="E46" i="9"/>
  <c r="D46" i="9"/>
  <c r="H42" i="9"/>
  <c r="G42" i="9"/>
  <c r="F42" i="9"/>
  <c r="E42" i="9"/>
  <c r="D42" i="9"/>
  <c r="H41" i="9"/>
  <c r="G41" i="9"/>
  <c r="F41" i="9"/>
  <c r="E41" i="9"/>
  <c r="D41" i="9"/>
  <c r="H40" i="9"/>
  <c r="G40" i="9"/>
  <c r="F40" i="9"/>
  <c r="E40" i="9"/>
  <c r="D40" i="9"/>
  <c r="H36" i="9"/>
  <c r="G36" i="9"/>
  <c r="F36" i="9"/>
  <c r="E36" i="9"/>
  <c r="D36" i="9"/>
  <c r="H35" i="9"/>
  <c r="G35" i="9"/>
  <c r="F35" i="9"/>
  <c r="E35" i="9"/>
  <c r="D35" i="9"/>
  <c r="H34" i="9"/>
  <c r="G34" i="9"/>
  <c r="F34" i="9"/>
  <c r="E34" i="9"/>
  <c r="D34" i="9"/>
  <c r="H33" i="9"/>
  <c r="G33" i="9"/>
  <c r="F33" i="9"/>
  <c r="E33" i="9"/>
  <c r="D33" i="9"/>
  <c r="H32" i="9"/>
  <c r="G32" i="9"/>
  <c r="F32" i="9"/>
  <c r="E32" i="9"/>
  <c r="D32" i="9"/>
  <c r="H27" i="9"/>
  <c r="G27" i="9"/>
  <c r="F27" i="9"/>
  <c r="F47" i="9" s="1"/>
  <c r="E27" i="9"/>
  <c r="D27" i="9"/>
  <c r="H26" i="9"/>
  <c r="G26" i="9"/>
  <c r="G45" i="9" s="1"/>
  <c r="F26" i="9"/>
  <c r="E26" i="9"/>
  <c r="D26" i="9"/>
  <c r="H25" i="9"/>
  <c r="G25" i="9"/>
  <c r="G47" i="9" s="1"/>
  <c r="F25" i="9"/>
  <c r="E25" i="9"/>
  <c r="D25" i="9"/>
  <c r="H24" i="9"/>
  <c r="H45" i="9" s="1"/>
  <c r="G24" i="9"/>
  <c r="F24" i="9"/>
  <c r="E24" i="9"/>
  <c r="E45" i="9" s="1"/>
  <c r="D24" i="9"/>
  <c r="D45" i="9" s="1"/>
  <c r="H22" i="9"/>
  <c r="H55" i="9" s="1"/>
  <c r="G22" i="9"/>
  <c r="G55" i="9" s="1"/>
  <c r="F22" i="9"/>
  <c r="F55" i="9" s="1"/>
  <c r="E22" i="9"/>
  <c r="E55" i="9" s="1"/>
  <c r="D22" i="9"/>
  <c r="D55" i="9" s="1"/>
  <c r="M17" i="9"/>
  <c r="M13" i="9"/>
  <c r="E27" i="1"/>
  <c r="D27" i="1"/>
  <c r="D47" i="9" l="1"/>
  <c r="H47" i="9"/>
  <c r="E49" i="9"/>
  <c r="F45" i="9"/>
  <c r="F49" i="9" s="1"/>
  <c r="E47" i="9"/>
  <c r="H49" i="9"/>
  <c r="D49" i="9"/>
  <c r="G49" i="9"/>
  <c r="N36" i="9" l="1"/>
  <c r="O36" i="9"/>
  <c r="E63" i="1" l="1"/>
  <c r="D63" i="1"/>
  <c r="H61" i="1" l="1"/>
  <c r="H59" i="1"/>
  <c r="D59" i="1"/>
  <c r="E59" i="1"/>
  <c r="F59" i="1"/>
  <c r="G63" i="1"/>
  <c r="F63" i="1"/>
  <c r="H63" i="1"/>
  <c r="F55" i="1"/>
  <c r="E55" i="1"/>
  <c r="G55" i="1"/>
  <c r="H55" i="1"/>
  <c r="D53" i="1"/>
  <c r="D52" i="1"/>
  <c r="E52" i="1"/>
  <c r="D54" i="1"/>
  <c r="D49" i="1"/>
  <c r="H49" i="1"/>
  <c r="E49" i="1"/>
  <c r="F49" i="1"/>
  <c r="G49" i="1"/>
  <c r="D48" i="1"/>
  <c r="E48" i="1"/>
  <c r="F48" i="1"/>
  <c r="G48" i="1"/>
  <c r="H48" i="1"/>
  <c r="H24" i="1"/>
  <c r="H45" i="1"/>
  <c r="H46" i="1"/>
  <c r="F40" i="1"/>
  <c r="D41" i="1"/>
  <c r="D40" i="1"/>
  <c r="D35" i="1"/>
  <c r="K46" i="9" l="1"/>
  <c r="O46" i="9"/>
  <c r="N46" i="9"/>
  <c r="M46" i="9"/>
  <c r="L46" i="9"/>
  <c r="M50" i="9" l="1"/>
  <c r="L50" i="9"/>
  <c r="K17" i="9"/>
  <c r="K50" i="9" s="1"/>
  <c r="L17" i="9"/>
  <c r="N17" i="9"/>
  <c r="N50" i="9" s="1"/>
  <c r="O17" i="9"/>
  <c r="O50" i="9" s="1"/>
  <c r="O41" i="9"/>
  <c r="O42" i="9"/>
  <c r="O40" i="9"/>
  <c r="O34" i="9"/>
  <c r="K42" i="9"/>
  <c r="N42" i="9"/>
  <c r="M42" i="9"/>
  <c r="L42" i="9"/>
  <c r="N41" i="9"/>
  <c r="M41" i="9"/>
  <c r="L41" i="9"/>
  <c r="K41" i="9"/>
  <c r="N40" i="9"/>
  <c r="M40" i="9"/>
  <c r="L40" i="9"/>
  <c r="K40" i="9"/>
  <c r="K13" i="9"/>
  <c r="K35" i="9" s="1"/>
  <c r="M36" i="9"/>
  <c r="L13" i="9"/>
  <c r="L35" i="9" s="1"/>
  <c r="O13" i="9"/>
  <c r="O35" i="9" s="1"/>
  <c r="N13" i="9"/>
  <c r="K36" i="9"/>
  <c r="K32" i="9"/>
  <c r="L36" i="9"/>
  <c r="N35" i="9"/>
  <c r="M35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D61" i="1"/>
  <c r="D46" i="1" l="1"/>
  <c r="D42" i="1"/>
  <c r="E41" i="1"/>
  <c r="E40" i="1"/>
  <c r="E36" i="1"/>
  <c r="D36" i="1"/>
  <c r="D34" i="1"/>
  <c r="D33" i="1"/>
  <c r="D32" i="1"/>
  <c r="E32" i="1"/>
  <c r="D25" i="1"/>
  <c r="D24" i="1"/>
  <c r="D22" i="1"/>
  <c r="D55" i="1" s="1"/>
  <c r="E46" i="1"/>
  <c r="F46" i="1"/>
  <c r="E61" i="1"/>
  <c r="F33" i="1"/>
  <c r="E33" i="1"/>
  <c r="E25" i="1"/>
  <c r="E24" i="1"/>
  <c r="E22" i="1"/>
  <c r="F61" i="1"/>
  <c r="G59" i="1"/>
  <c r="G61" i="1" s="1"/>
  <c r="F22" i="1"/>
  <c r="G46" i="1"/>
  <c r="G22" i="1"/>
  <c r="H22" i="1"/>
  <c r="D47" i="1" l="1"/>
  <c r="D26" i="1"/>
  <c r="D45" i="1" s="1"/>
  <c r="H53" i="1" l="1"/>
  <c r="H54" i="1" l="1"/>
  <c r="G27" i="1"/>
  <c r="F26" i="1"/>
  <c r="G26" i="1"/>
  <c r="F25" i="1" l="1"/>
  <c r="F24" i="1"/>
  <c r="E53" i="1" l="1"/>
  <c r="F52" i="1"/>
  <c r="G52" i="1"/>
  <c r="H52" i="1"/>
  <c r="E26" i="1"/>
  <c r="F54" i="1" l="1"/>
  <c r="F27" i="1"/>
  <c r="H40" i="1"/>
  <c r="H27" i="1"/>
  <c r="H26" i="1"/>
  <c r="H25" i="1"/>
  <c r="G24" i="1"/>
  <c r="G45" i="1" s="1"/>
  <c r="H41" i="1"/>
  <c r="H42" i="1"/>
  <c r="H35" i="1"/>
  <c r="G32" i="1"/>
  <c r="H32" i="1"/>
  <c r="H34" i="1"/>
  <c r="G34" i="1"/>
  <c r="G35" i="1"/>
  <c r="H47" i="1" l="1"/>
  <c r="E35" i="1"/>
  <c r="E34" i="1"/>
  <c r="E54" i="1" l="1"/>
  <c r="G54" i="1"/>
  <c r="F53" i="1"/>
  <c r="G53" i="1"/>
  <c r="E47" i="1"/>
  <c r="F47" i="1"/>
  <c r="G25" i="1"/>
  <c r="G47" i="1" s="1"/>
  <c r="F45" i="1"/>
  <c r="E45" i="1"/>
  <c r="E42" i="1"/>
  <c r="F42" i="1"/>
  <c r="G42" i="1"/>
  <c r="F41" i="1"/>
  <c r="G41" i="1"/>
  <c r="G40" i="1"/>
  <c r="F36" i="1"/>
  <c r="G36" i="1"/>
  <c r="H36" i="1"/>
  <c r="F35" i="1"/>
  <c r="F34" i="1"/>
  <c r="H33" i="1"/>
  <c r="G33" i="1"/>
  <c r="F32" i="1"/>
</calcChain>
</file>

<file path=xl/comments1.xml><?xml version="1.0" encoding="utf-8"?>
<comments xmlns="http://schemas.openxmlformats.org/spreadsheetml/2006/main">
  <authors>
    <author>RAMA Harish (SAFRAN SEATS)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>Refer to Note 9 (Finance Expense) - Page 175 of 2018 Report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RAMA Harish</t>
        </r>
        <r>
          <rPr>
            <sz val="9"/>
            <color indexed="81"/>
            <rFont val="Tahoma"/>
            <family val="2"/>
          </rPr>
          <t>:Refer to Note 9 (Finance Expense) - Page 143 of 2019 Report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>Refer to Note 9 (Finance Income) - Page 114 of 2020 Report</t>
        </r>
      </text>
    </comment>
    <comment ref="G22" authorId="0" shapeId="0">
      <text>
        <r>
          <rPr>
            <b/>
            <sz val="9"/>
            <color indexed="81"/>
            <rFont val="Tahoma"/>
            <family val="2"/>
          </rPr>
          <t>RAMA Harish</t>
        </r>
        <r>
          <rPr>
            <sz val="9"/>
            <color indexed="81"/>
            <rFont val="Tahoma"/>
            <family val="2"/>
          </rPr>
          <t xml:space="preserve">: Refer to Note 8 (Finance Expenses) - Page 173 of 2021 Report
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</rPr>
          <t xml:space="preserve">RAMA Harish: </t>
        </r>
        <r>
          <rPr>
            <sz val="9"/>
            <color indexed="81"/>
            <rFont val="Tahoma"/>
            <family val="2"/>
          </rPr>
          <t xml:space="preserve">Refer to Note 8 (Finance Expenses) - Page 184 of 2022 Report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RAMA Harish (SAFRAN SEATS):</t>
        </r>
        <r>
          <rPr>
            <sz val="9"/>
            <color indexed="81"/>
            <rFont val="Tahoma"/>
            <family val="2"/>
          </rPr>
          <t xml:space="preserve">
Refer to Note 12 (Earnings per Ordinary Share for detailed information) - Page 177 of 2018 Report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 xml:space="preserve">
Refer to Note 12 (Earnings per Ordinary Share for detailed information) - Page 146 of 2019 Report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 xml:space="preserve">
Refer to Note 12 (Earnings per Ordinary Share for detailed information) - Page 117 of 2020 Report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 xml:space="preserve">
RAMA Harish: Refer to Note 11 (Earnings per Ordinary Share for detailed information) - Page 176 of 2021 Report</t>
        </r>
      </text>
    </comment>
    <comment ref="H28" authorId="0" shapeId="0">
      <text>
        <r>
          <rPr>
            <b/>
            <sz val="9"/>
            <color indexed="81"/>
            <rFont val="Tahoma"/>
            <family val="2"/>
          </rPr>
          <t xml:space="preserve">RAMA Harish: </t>
        </r>
        <r>
          <rPr>
            <sz val="9"/>
            <color indexed="81"/>
            <rFont val="Tahoma"/>
            <family val="2"/>
          </rPr>
          <t>Refer to Note 11 (Earnings per Ordinary Share for detailed information) - Page 187 of 2022 Report</t>
        </r>
      </text>
    </comment>
  </commentList>
</comments>
</file>

<file path=xl/comments2.xml><?xml version="1.0" encoding="utf-8"?>
<comments xmlns="http://schemas.openxmlformats.org/spreadsheetml/2006/main">
  <authors>
    <author>RAMA Harish (SAFRAN SEATS)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>Refer to Note 9 (Finance Expense) - Page 175 of 2018 Report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RAMA Harish</t>
        </r>
        <r>
          <rPr>
            <sz val="9"/>
            <color indexed="81"/>
            <rFont val="Tahoma"/>
            <family val="2"/>
          </rPr>
          <t>:Refer to Note 9 (Finance Expense) - Page 143 of 2019 Report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>Refer to Note 9 (Finance Income) - Page 114 of 2020 Report</t>
        </r>
      </text>
    </comment>
    <comment ref="G22" authorId="0" shapeId="0">
      <text>
        <r>
          <rPr>
            <b/>
            <sz val="9"/>
            <color indexed="81"/>
            <rFont val="Tahoma"/>
            <family val="2"/>
          </rPr>
          <t>RAMA Harish</t>
        </r>
        <r>
          <rPr>
            <sz val="9"/>
            <color indexed="81"/>
            <rFont val="Tahoma"/>
            <family val="2"/>
          </rPr>
          <t xml:space="preserve">: Refer to Note 8 (Finance Expenses) - Page 173 of 2021 Report
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</rPr>
          <t xml:space="preserve">RAMA Harish: </t>
        </r>
        <r>
          <rPr>
            <sz val="9"/>
            <color indexed="81"/>
            <rFont val="Tahoma"/>
            <family val="2"/>
          </rPr>
          <t xml:space="preserve">Refer to Note 8 (Finance Expenses) - Page 184 of 2022 Report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RAMA Harish (SAFRAN SEATS):</t>
        </r>
        <r>
          <rPr>
            <sz val="9"/>
            <color indexed="81"/>
            <rFont val="Tahoma"/>
            <family val="2"/>
          </rPr>
          <t xml:space="preserve">
Refer to Note 12 (Earnings per Ordinary Share for detailed information) - Page 177 of 2018 Report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 xml:space="preserve">
Refer to Note 12 (Earnings per Ordinary Share for detailed information) - Page 146 of 2019 Report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 xml:space="preserve">
Refer to Note 12 (Earnings per Ordinary Share for detailed information) - Page 117 of 2020 Report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>RAMA Harish:</t>
        </r>
        <r>
          <rPr>
            <sz val="9"/>
            <color indexed="81"/>
            <rFont val="Tahoma"/>
            <family val="2"/>
          </rPr>
          <t xml:space="preserve">
RAMA Harish: Refer to Note 11 (Earnings per Ordinary Share for detailed information) - Page 176 of 2021 Report</t>
        </r>
      </text>
    </comment>
    <comment ref="H28" authorId="0" shapeId="0">
      <text>
        <r>
          <rPr>
            <b/>
            <sz val="9"/>
            <color indexed="81"/>
            <rFont val="Tahoma"/>
            <family val="2"/>
          </rPr>
          <t xml:space="preserve">RAMA Harish: </t>
        </r>
        <r>
          <rPr>
            <sz val="9"/>
            <color indexed="81"/>
            <rFont val="Tahoma"/>
            <family val="2"/>
          </rPr>
          <t>Refer to Note 11 (Earnings per Ordinary Share for detailed information) - Page 187 of 2022 Report</t>
        </r>
      </text>
    </comment>
  </commentList>
</comments>
</file>

<file path=xl/sharedStrings.xml><?xml version="1.0" encoding="utf-8"?>
<sst xmlns="http://schemas.openxmlformats.org/spreadsheetml/2006/main" count="175" uniqueCount="68">
  <si>
    <t>Aston Martin Figures</t>
  </si>
  <si>
    <t>Financial Ratios Assignment</t>
  </si>
  <si>
    <t>Profitability Ratios</t>
  </si>
  <si>
    <t>Return on Equity</t>
  </si>
  <si>
    <t>Liquidity Ratios</t>
  </si>
  <si>
    <t>Current Ratio</t>
  </si>
  <si>
    <t>Quick Ratio (Acid Test Ratio)</t>
  </si>
  <si>
    <t>Cash Ratio</t>
  </si>
  <si>
    <t>Day Sales Outstanding (DSO)</t>
  </si>
  <si>
    <t>Inventory Turnover</t>
  </si>
  <si>
    <t>Days Payable Outstanding (DPO)</t>
  </si>
  <si>
    <t>Leverage Ratios</t>
  </si>
  <si>
    <t>Investor Ratios</t>
  </si>
  <si>
    <t>Efficiency Activity Ratios</t>
  </si>
  <si>
    <t>Revenue (£m)</t>
  </si>
  <si>
    <t>(£m)</t>
  </si>
  <si>
    <t>H RAMA</t>
  </si>
  <si>
    <t>Volume</t>
  </si>
  <si>
    <t>Dec 31, 2021</t>
  </si>
  <si>
    <t>Dec 31, 2020</t>
  </si>
  <si>
    <t>Dec 31, 2019</t>
  </si>
  <si>
    <t>Dec 31, 2018</t>
  </si>
  <si>
    <t>Dec 30, 2022</t>
  </si>
  <si>
    <t>Earnings Per Ordinary Share (p)</t>
  </si>
  <si>
    <t>Cost of Goods Sold (£m)</t>
  </si>
  <si>
    <t>Gross Profit (£m)</t>
  </si>
  <si>
    <t>Operating Profit/Loss (£m)</t>
  </si>
  <si>
    <t>Net Profit/Loss (£m)</t>
  </si>
  <si>
    <t>Assets (£m)</t>
  </si>
  <si>
    <t>Share Holder Equity (£m)</t>
  </si>
  <si>
    <t>Current Assets (£m)</t>
  </si>
  <si>
    <t>Current Liabilities (£m)</t>
  </si>
  <si>
    <t>Non Current Liabilities (£m)</t>
  </si>
  <si>
    <t>Total Liabilities (£m)</t>
  </si>
  <si>
    <t>Shareholder Equity (£m)</t>
  </si>
  <si>
    <t>Long Term Debt (£m)</t>
  </si>
  <si>
    <t>Stock (£m)</t>
  </si>
  <si>
    <t>Interest Charge (£m)</t>
  </si>
  <si>
    <t>Cash &amp; Cash Equivalents (£m)</t>
  </si>
  <si>
    <t>Average Revenue Per Day (£m)</t>
  </si>
  <si>
    <t>Average COGS per Day (£m)</t>
  </si>
  <si>
    <t>Trade and Other Receivables (£m)</t>
  </si>
  <si>
    <t>Trade and Other Payables (£m)</t>
  </si>
  <si>
    <t>No. of Shares (million)</t>
  </si>
  <si>
    <t>Gross Profit Margin %</t>
  </si>
  <si>
    <t>Operating Profit Margin %</t>
  </si>
  <si>
    <t>Net Profit Margin %</t>
  </si>
  <si>
    <t>Return on Assets %</t>
  </si>
  <si>
    <t>Gearing Ratio %</t>
  </si>
  <si>
    <t>Debt/Equity Ratio %</t>
  </si>
  <si>
    <t>Long Term Debt Ratio %</t>
  </si>
  <si>
    <t>Interest Coverage %</t>
  </si>
  <si>
    <t>Dividend Cover %</t>
  </si>
  <si>
    <t>Dividend Yield Ratio %</t>
  </si>
  <si>
    <t>Open (p)</t>
  </si>
  <si>
    <t>High (p)</t>
  </si>
  <si>
    <t>Low (p)</t>
  </si>
  <si>
    <t>Close* (p)</t>
  </si>
  <si>
    <t>Adj Close** (p)</t>
  </si>
  <si>
    <t>Aston Martin Lagonda Annual Report Data (Income Statement &amp; Balance Sheet)</t>
  </si>
  <si>
    <t>Mclaren Annual Report Data (Income Statement &amp; Balance Sheet)</t>
  </si>
  <si>
    <t>Price Per Earnings Ratio</t>
  </si>
  <si>
    <t>Return on Equity (ROE) %</t>
  </si>
  <si>
    <t>Cash Conversion Cycle (CCC)</t>
  </si>
  <si>
    <t>Days Inventory Outstanding (DIO)</t>
  </si>
  <si>
    <t>Date</t>
  </si>
  <si>
    <t>Aston Martin Lagonda Global Holdings plc  - Share Price (p)</t>
  </si>
  <si>
    <t xml:space="preserve">Gearing Ratio 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</si>
</sst>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0" fillId="0" borderId="0" xfId="0" applyFill="1"/>
    <xf numFmtId="4" fontId="0" fillId="3" borderId="1" xfId="0" applyNumberFormat="1" applyFill="1" applyBorder="1"/>
    <xf numFmtId="2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0" fontId="0" fillId="4" borderId="0" xfId="0" applyFill="1"/>
    <xf numFmtId="0" fontId="3" fillId="4" borderId="0" xfId="0" applyFont="1" applyFill="1"/>
    <xf numFmtId="0" fontId="0" fillId="4" borderId="0" xfId="0" applyFill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2" fillId="4" borderId="0" xfId="0" applyFont="1" applyFill="1"/>
    <xf numFmtId="0" fontId="1" fillId="4" borderId="0" xfId="0" applyFont="1" applyFill="1"/>
    <xf numFmtId="0" fontId="0" fillId="4" borderId="0" xfId="0" applyFill="1" applyBorder="1"/>
    <xf numFmtId="0" fontId="4" fillId="4" borderId="0" xfId="0" applyFont="1" applyFill="1" applyBorder="1"/>
    <xf numFmtId="0" fontId="1" fillId="2" borderId="6" xfId="0" applyFont="1" applyFill="1" applyBorder="1"/>
    <xf numFmtId="2" fontId="0" fillId="3" borderId="7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0" fontId="1" fillId="2" borderId="9" xfId="0" applyFont="1" applyFill="1" applyBorder="1"/>
    <xf numFmtId="2" fontId="0" fillId="3" borderId="10" xfId="0" applyNumberFormat="1" applyFill="1" applyBorder="1" applyAlignment="1">
      <alignment horizontal="center"/>
    </xf>
    <xf numFmtId="0" fontId="1" fillId="2" borderId="11" xfId="0" applyFont="1" applyFill="1" applyBorder="1"/>
    <xf numFmtId="2" fontId="0" fillId="3" borderId="12" xfId="0" applyNumberFormat="1" applyFill="1" applyBorder="1" applyAlignment="1">
      <alignment horizontal="center"/>
    </xf>
    <xf numFmtId="2" fontId="0" fillId="3" borderId="13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14" xfId="0" applyFont="1" applyFill="1" applyBorder="1"/>
    <xf numFmtId="2" fontId="0" fillId="3" borderId="15" xfId="0" applyNumberForma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16" xfId="0" applyFont="1" applyFill="1" applyBorder="1"/>
    <xf numFmtId="0" fontId="1" fillId="4" borderId="22" xfId="0" applyFont="1" applyFill="1" applyBorder="1" applyAlignment="1">
      <alignment horizontal="center"/>
    </xf>
    <xf numFmtId="0" fontId="1" fillId="4" borderId="17" xfId="0" applyFont="1" applyFill="1" applyBorder="1"/>
    <xf numFmtId="0" fontId="1" fillId="4" borderId="18" xfId="0" applyFont="1" applyFill="1" applyBorder="1"/>
    <xf numFmtId="0" fontId="1" fillId="4" borderId="22" xfId="0" applyFont="1" applyFill="1" applyBorder="1"/>
    <xf numFmtId="0" fontId="1" fillId="2" borderId="23" xfId="0" applyFont="1" applyFill="1" applyBorder="1"/>
    <xf numFmtId="0" fontId="1" fillId="2" borderId="24" xfId="0" applyFont="1" applyFill="1" applyBorder="1"/>
    <xf numFmtId="0" fontId="1" fillId="2" borderId="25" xfId="0" applyFont="1" applyFill="1" applyBorder="1"/>
    <xf numFmtId="0" fontId="0" fillId="3" borderId="19" xfId="0" applyFill="1" applyBorder="1"/>
    <xf numFmtId="0" fontId="0" fillId="3" borderId="4" xfId="0" applyFill="1" applyBorder="1"/>
    <xf numFmtId="3" fontId="0" fillId="3" borderId="15" xfId="0" applyNumberFormat="1" applyFill="1" applyBorder="1"/>
    <xf numFmtId="4" fontId="0" fillId="3" borderId="9" xfId="0" applyNumberFormat="1" applyFill="1" applyBorder="1"/>
    <xf numFmtId="3" fontId="0" fillId="3" borderId="10" xfId="0" applyNumberFormat="1" applyFill="1" applyBorder="1"/>
    <xf numFmtId="4" fontId="0" fillId="3" borderId="11" xfId="0" applyNumberFormat="1" applyFill="1" applyBorder="1"/>
    <xf numFmtId="4" fontId="0" fillId="3" borderId="12" xfId="0" applyNumberFormat="1" applyFill="1" applyBorder="1"/>
    <xf numFmtId="3" fontId="0" fillId="3" borderId="13" xfId="0" applyNumberFormat="1" applyFill="1" applyBorder="1"/>
    <xf numFmtId="164" fontId="0" fillId="3" borderId="2" xfId="0" applyNumberFormat="1" applyFill="1" applyBorder="1" applyAlignment="1">
      <alignment horizontal="center" vertical="center"/>
    </xf>
    <xf numFmtId="0" fontId="1" fillId="4" borderId="0" xfId="0" applyFont="1" applyFill="1" applyBorder="1"/>
    <xf numFmtId="0" fontId="1" fillId="0" borderId="2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4" borderId="0" xfId="0" applyFont="1" applyFill="1" applyBorder="1" applyAlignment="1"/>
    <xf numFmtId="164" fontId="0" fillId="3" borderId="26" xfId="0" applyNumberForma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31" xfId="0" applyFont="1" applyFill="1" applyBorder="1"/>
    <xf numFmtId="2" fontId="0" fillId="3" borderId="6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2" fontId="0" fillId="3" borderId="18" xfId="0" applyNumberFormat="1" applyFill="1" applyBorder="1" applyAlignment="1">
      <alignment horizontal="center"/>
    </xf>
    <xf numFmtId="2" fontId="0" fillId="3" borderId="32" xfId="0" applyNumberFormat="1" applyFill="1" applyBorder="1" applyAlignment="1">
      <alignment horizontal="center"/>
    </xf>
    <xf numFmtId="0" fontId="1" fillId="2" borderId="5" xfId="0" applyFont="1" applyFill="1" applyBorder="1"/>
    <xf numFmtId="2" fontId="0" fillId="3" borderId="16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xml"/><Relationship Id="rId13" Type="http://schemas.openxmlformats.org/officeDocument/2006/relationships/chartsheet" Target="chartsheets/sheet11.xml"/><Relationship Id="rId1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hartsheet" Target="chartsheets/sheet10.xml"/><Relationship Id="rId17" Type="http://schemas.openxmlformats.org/officeDocument/2006/relationships/theme" Target="theme/theme1.xml"/><Relationship Id="rId2" Type="http://schemas.openxmlformats.org/officeDocument/2006/relationships/chartsheet" Target="chartsheets/sheet1.xml"/><Relationship Id="rId16" Type="http://schemas.openxmlformats.org/officeDocument/2006/relationships/chartsheet" Target="chartsheets/sheet1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hartsheet" Target="chartsheets/sheet9.xml"/><Relationship Id="rId5" Type="http://schemas.openxmlformats.org/officeDocument/2006/relationships/chartsheet" Target="chartsheets/sheet4.xml"/><Relationship Id="rId15" Type="http://schemas.openxmlformats.org/officeDocument/2006/relationships/chartsheet" Target="chartsheets/sheet13.xml"/><Relationship Id="rId10" Type="http://schemas.openxmlformats.org/officeDocument/2006/relationships/chartsheet" Target="chartsheets/sheet8.xml"/><Relationship Id="rId19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worksheet" Target="worksheets/sheet2.xml"/><Relationship Id="rId14" Type="http://schemas.openxmlformats.org/officeDocument/2006/relationships/chartsheet" Target="chartsheets/sheet1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aston martin</a:t>
            </a:r>
            <a:r>
              <a:rPr lang="en-GB" sz="1400" baseline="0">
                <a:solidFill>
                  <a:sysClr val="windowText" lastClr="000000"/>
                </a:solidFill>
              </a:rPr>
              <a:t> lagonda - </a:t>
            </a:r>
            <a:r>
              <a:rPr lang="en-GB" sz="1400">
                <a:solidFill>
                  <a:sysClr val="windowText" lastClr="000000"/>
                </a:solidFill>
              </a:rPr>
              <a:t>Profitability</a:t>
            </a:r>
            <a:r>
              <a:rPr lang="en-GB" sz="1400" baseline="0">
                <a:solidFill>
                  <a:sysClr val="windowText" lastClr="000000"/>
                </a:solidFill>
              </a:rPr>
              <a:t> ratios (2018 - 2022)</a:t>
            </a:r>
            <a:endParaRPr lang="en-GB" sz="14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74540558853474E-2"/>
          <c:y val="0.13436627499239145"/>
          <c:w val="0.89270246647636098"/>
          <c:h val="0.82155217471848407"/>
        </c:manualLayout>
      </c:layout>
      <c:scatterChart>
        <c:scatterStyle val="lineMarker"/>
        <c:varyColors val="0"/>
        <c:ser>
          <c:idx val="0"/>
          <c:order val="0"/>
          <c:tx>
            <c:strRef>
              <c:f>Ratios!$C$32</c:f>
              <c:strCache>
                <c:ptCount val="1"/>
                <c:pt idx="0">
                  <c:v>Gross Profit Margin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095512045133371E-2"/>
                  <c:y val="-1.26037076733754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7265-40DD-9F41-F1C069EB847A}"/>
                </c:ext>
              </c:extLst>
            </c:dLbl>
            <c:dLbl>
              <c:idx val="1"/>
              <c:layout>
                <c:manualLayout>
                  <c:x val="-1.9171460789834043E-2"/>
                  <c:y val="-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7265-40DD-9F41-F1C069EB847A}"/>
                </c:ext>
              </c:extLst>
            </c:dLbl>
            <c:dLbl>
              <c:idx val="2"/>
              <c:layout>
                <c:manualLayout>
                  <c:x val="-5.4775602256668552E-3"/>
                  <c:y val="1.680494356450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7265-40DD-9F41-F1C069EB847A}"/>
                </c:ext>
              </c:extLst>
            </c:dLbl>
            <c:dLbl>
              <c:idx val="3"/>
              <c:layout>
                <c:manualLayout>
                  <c:x val="-1.6432680677000565E-2"/>
                  <c:y val="-1.680494356450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7265-40DD-9F41-F1C069EB847A}"/>
                </c:ext>
              </c:extLst>
            </c:dLbl>
            <c:dLbl>
              <c:idx val="4"/>
              <c:layout>
                <c:manualLayout>
                  <c:x val="0"/>
                  <c:y val="-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7265-40DD-9F41-F1C069EB84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Ratios!$D$32:$H$32</c:f>
              <c:numCache>
                <c:formatCode>0.00</c:formatCode>
                <c:ptCount val="5"/>
                <c:pt idx="0">
                  <c:v>39.74464204286366</c:v>
                </c:pt>
                <c:pt idx="1">
                  <c:v>35.556001203248776</c:v>
                </c:pt>
                <c:pt idx="2">
                  <c:v>18.159529257927428</c:v>
                </c:pt>
                <c:pt idx="3">
                  <c:v>31.379530722176575</c:v>
                </c:pt>
                <c:pt idx="4">
                  <c:v>32.623959464350342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65-40DD-9F41-F1C069EB847A}"/>
            </c:ext>
          </c:extLst>
        </c:ser>
        <c:ser>
          <c:idx val="1"/>
          <c:order val="1"/>
          <c:tx>
            <c:strRef>
              <c:f>Ratios!$C$33</c:f>
              <c:strCache>
                <c:ptCount val="1"/>
                <c:pt idx="0">
                  <c:v>Operating Profit Margin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6432680677000565E-2"/>
                  <c:y val="-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7265-40DD-9F41-F1C069EB847A}"/>
                </c:ext>
              </c:extLst>
            </c:dLbl>
            <c:dLbl>
              <c:idx val="1"/>
              <c:layout>
                <c:manualLayout>
                  <c:x val="-2.1910240902667421E-2"/>
                  <c:y val="-2.31067974011882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7265-40DD-9F41-F1C069EB847A}"/>
                </c:ext>
              </c:extLst>
            </c:dLbl>
            <c:dLbl>
              <c:idx val="2"/>
              <c:layout>
                <c:manualLayout>
                  <c:x val="-2.6018411071917564E-2"/>
                  <c:y val="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7-7265-40DD-9F41-F1C069EB847A}"/>
                </c:ext>
              </c:extLst>
            </c:dLbl>
            <c:dLbl>
              <c:idx val="3"/>
              <c:layout>
                <c:manualLayout>
                  <c:x val="-1.7802070733417278E-2"/>
                  <c:y val="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8-7265-40DD-9F41-F1C069EB847A}"/>
                </c:ext>
              </c:extLst>
            </c:dLbl>
            <c:dLbl>
              <c:idx val="4"/>
              <c:layout>
                <c:manualLayout>
                  <c:x val="-4.1081701692501412E-3"/>
                  <c:y val="2.1006179455625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9-7265-40DD-9F41-F1C069EB84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Ratios!$D$33:$H$33</c:f>
              <c:numCache>
                <c:formatCode>0.00</c:formatCode>
                <c:ptCount val="5"/>
                <c:pt idx="0">
                  <c:v>6.6393068855449151</c:v>
                </c:pt>
                <c:pt idx="1">
                  <c:v>-3.6799358267321773</c:v>
                </c:pt>
                <c:pt idx="2">
                  <c:v>-52.778685845047399</c:v>
                </c:pt>
                <c:pt idx="3">
                  <c:v>-6.9843878389482335</c:v>
                </c:pt>
                <c:pt idx="4">
                  <c:v>-10.264205573651829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65-40DD-9F41-F1C069EB847A}"/>
            </c:ext>
          </c:extLst>
        </c:ser>
        <c:ser>
          <c:idx val="2"/>
          <c:order val="2"/>
          <c:tx>
            <c:strRef>
              <c:f>Ratios!$C$34</c:f>
              <c:strCache>
                <c:ptCount val="1"/>
                <c:pt idx="0">
                  <c:v>Net Profit Margin %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7802070733417278E-2"/>
                  <c:y val="1.47043256189379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7265-40DD-9F41-F1C069EB847A}"/>
                </c:ext>
              </c:extLst>
            </c:dLbl>
            <c:dLbl>
              <c:idx val="1"/>
              <c:layout>
                <c:manualLayout>
                  <c:x val="-3.0126581241167755E-2"/>
                  <c:y val="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7265-40DD-9F41-F1C069EB847A}"/>
                </c:ext>
              </c:extLst>
            </c:dLbl>
            <c:dLbl>
              <c:idx val="2"/>
              <c:layout>
                <c:manualLayout>
                  <c:x val="-2.6018411071917564E-2"/>
                  <c:y val="-3.78111230201263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7265-40DD-9F41-F1C069EB847A}"/>
                </c:ext>
              </c:extLst>
            </c:dLbl>
            <c:dLbl>
              <c:idx val="3"/>
              <c:layout>
                <c:manualLayout>
                  <c:x val="-2.6018411071917564E-2"/>
                  <c:y val="-1.47043256189380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7265-40DD-9F41-F1C069EB847A}"/>
                </c:ext>
              </c:extLst>
            </c:dLbl>
            <c:dLbl>
              <c:idx val="4"/>
              <c:layout>
                <c:manualLayout>
                  <c:x val="-4.1081701692501412E-3"/>
                  <c:y val="-1.680494356450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7265-40DD-9F41-F1C069EB84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Ratios!$D$34:$H$34</c:f>
              <c:numCache>
                <c:formatCode>0.00</c:formatCode>
                <c:ptCount val="5"/>
                <c:pt idx="0">
                  <c:v>-5.2074783401732789</c:v>
                </c:pt>
                <c:pt idx="1">
                  <c:v>-10.468264313646849</c:v>
                </c:pt>
                <c:pt idx="2">
                  <c:v>-67.097090552468131</c:v>
                </c:pt>
                <c:pt idx="3">
                  <c:v>-17.282936181867985</c:v>
                </c:pt>
                <c:pt idx="4">
                  <c:v>-38.197611292073837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65-40DD-9F41-F1C069EB8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210896"/>
        <c:axId val="480211552"/>
      </c:scatterChart>
      <c:valAx>
        <c:axId val="480210896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211552"/>
        <c:crosses val="autoZero"/>
        <c:crossBetween val="midCat"/>
        <c:majorUnit val="1"/>
        <c:minorUnit val="0.5"/>
      </c:valAx>
      <c:valAx>
        <c:axId val="480211552"/>
        <c:scaling>
          <c:orientation val="minMax"/>
          <c:max val="40"/>
          <c:min val="-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Ratio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210896"/>
        <c:crosses val="autoZero"/>
        <c:crossBetween val="midCat"/>
        <c:majorUnit val="10"/>
        <c:minorUnit val="5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aston martin</a:t>
            </a:r>
            <a:r>
              <a:rPr lang="en-GB" sz="1400" baseline="0">
                <a:solidFill>
                  <a:sysClr val="windowText" lastClr="000000"/>
                </a:solidFill>
              </a:rPr>
              <a:t> lagonda - </a:t>
            </a:r>
            <a:r>
              <a:rPr lang="en-GB" sz="1400">
                <a:solidFill>
                  <a:sysClr val="windowText" lastClr="000000"/>
                </a:solidFill>
              </a:rPr>
              <a:t>Profitability</a:t>
            </a:r>
            <a:r>
              <a:rPr lang="en-GB" sz="1400" baseline="0">
                <a:solidFill>
                  <a:sysClr val="windowText" lastClr="000000"/>
                </a:solidFill>
              </a:rPr>
              <a:t> ratios (2018 - 2022)</a:t>
            </a:r>
            <a:endParaRPr lang="en-GB" sz="14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74540558853474E-2"/>
          <c:y val="0.13436627499239145"/>
          <c:w val="0.89270246647636098"/>
          <c:h val="0.82155217471848407"/>
        </c:manualLayout>
      </c:layout>
      <c:scatterChart>
        <c:scatterStyle val="lineMarker"/>
        <c:varyColors val="0"/>
        <c:ser>
          <c:idx val="3"/>
          <c:order val="0"/>
          <c:tx>
            <c:strRef>
              <c:f>Ratios!$C$35</c:f>
              <c:strCache>
                <c:ptCount val="1"/>
                <c:pt idx="0">
                  <c:v>Return on Assets %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4.1081701692501412E-3"/>
                  <c:y val="-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B9D9-4D14-82F9-042FD689B0CC}"/>
                </c:ext>
              </c:extLst>
            </c:dLbl>
            <c:dLbl>
              <c:idx val="1"/>
              <c:layout>
                <c:manualLayout>
                  <c:x val="-1.780207073341733E-2"/>
                  <c:y val="3.15092691834385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B9D9-4D14-82F9-042FD689B0CC}"/>
                </c:ext>
              </c:extLst>
            </c:dLbl>
            <c:dLbl>
              <c:idx val="2"/>
              <c:layout>
                <c:manualLayout>
                  <c:x val="-2.3279630959084134E-2"/>
                  <c:y val="2.1006179455625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B9D9-4D14-82F9-042FD689B0CC}"/>
                </c:ext>
              </c:extLst>
            </c:dLbl>
            <c:dLbl>
              <c:idx val="3"/>
              <c:layout>
                <c:manualLayout>
                  <c:x val="-1.3693900564167138E-3"/>
                  <c:y val="-6.301853836687782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B9D9-4D14-82F9-042FD689B0CC}"/>
                </c:ext>
              </c:extLst>
            </c:dLbl>
            <c:dLbl>
              <c:idx val="4"/>
              <c:layout>
                <c:manualLayout>
                  <c:x val="-6.8469502820837696E-3"/>
                  <c:y val="1.89055615100630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B9D9-4D14-82F9-042FD689B0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Ratios!$D$35:$H$35</c:f>
              <c:numCache>
                <c:formatCode>0.00</c:formatCode>
                <c:ptCount val="5"/>
                <c:pt idx="0">
                  <c:v>-2.7702309334368334</c:v>
                </c:pt>
                <c:pt idx="1">
                  <c:v>-4.6793061718434856</c:v>
                </c:pt>
                <c:pt idx="2">
                  <c:v>-14.687991985115211</c:v>
                </c:pt>
                <c:pt idx="3">
                  <c:v>-6.6596306068601594</c:v>
                </c:pt>
                <c:pt idx="4">
                  <c:v>-16.999001385175401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B9D9-4D14-82F9-042FD689B0CC}"/>
            </c:ext>
          </c:extLst>
        </c:ser>
        <c:ser>
          <c:idx val="4"/>
          <c:order val="1"/>
          <c:tx>
            <c:strRef>
              <c:f>Ratios!$C$36</c:f>
              <c:strCache>
                <c:ptCount val="1"/>
                <c:pt idx="0">
                  <c:v>Return on Equity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2.3279630959084134E-2"/>
                  <c:y val="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8-B9D9-4D14-82F9-042FD689B0CC}"/>
                </c:ext>
              </c:extLst>
            </c:dLbl>
            <c:dLbl>
              <c:idx val="1"/>
              <c:layout>
                <c:manualLayout>
                  <c:x val="-2.8757191184751039E-2"/>
                  <c:y val="2.31067974011882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9-B9D9-4D14-82F9-042FD689B0CC}"/>
                </c:ext>
              </c:extLst>
            </c:dLbl>
            <c:dLbl>
              <c:idx val="2"/>
              <c:layout>
                <c:manualLayout>
                  <c:x val="-2.6018411071917564E-2"/>
                  <c:y val="-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A-B9D9-4D14-82F9-042FD689B0CC}"/>
                </c:ext>
              </c:extLst>
            </c:dLbl>
            <c:dLbl>
              <c:idx val="3"/>
              <c:layout>
                <c:manualLayout>
                  <c:x val="-2.6018411071917564E-2"/>
                  <c:y val="2.94086512378759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B-B9D9-4D14-82F9-042FD689B0CC}"/>
                </c:ext>
              </c:extLst>
            </c:dLbl>
            <c:dLbl>
              <c:idx val="4"/>
              <c:layout>
                <c:manualLayout>
                  <c:x val="-2.0084155480233847E-16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C-B9D9-4D14-82F9-042FD689B0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5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Ratios!$D$36:$H$36</c:f>
              <c:numCache>
                <c:formatCode>0.00</c:formatCode>
                <c:ptCount val="5"/>
                <c:pt idx="0">
                  <c:v>-12.705829995549623</c:v>
                </c:pt>
                <c:pt idx="1">
                  <c:v>-29.088882697130124</c:v>
                </c:pt>
                <c:pt idx="2">
                  <c:v>-51.050864320358158</c:v>
                </c:pt>
                <c:pt idx="3">
                  <c:v>-28.664445790430044</c:v>
                </c:pt>
                <c:pt idx="4">
                  <c:v>-68.3106796116505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B9D9-4D14-82F9-042FD689B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210896"/>
        <c:axId val="480211552"/>
      </c:scatterChart>
      <c:valAx>
        <c:axId val="480210896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211552"/>
        <c:crosses val="autoZero"/>
        <c:crossBetween val="midCat"/>
        <c:majorUnit val="1"/>
        <c:minorUnit val="0.5"/>
      </c:valAx>
      <c:valAx>
        <c:axId val="480211552"/>
        <c:scaling>
          <c:orientation val="minMax"/>
          <c:max val="40"/>
          <c:min val="-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Ratio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210896"/>
        <c:crosses val="autoZero"/>
        <c:crossBetween val="midCat"/>
        <c:majorUnit val="10"/>
        <c:minorUnit val="5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aston martin lagonda - liquidity ratios (2018 - 2022)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Ratios!$C$40</c:f>
              <c:strCache>
                <c:ptCount val="1"/>
                <c:pt idx="0">
                  <c:v>Current Ratio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5.4775602256668552E-3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E8D0-46FC-8380-4BE399760CAF}"/>
                </c:ext>
              </c:extLst>
            </c:dLbl>
            <c:dLbl>
              <c:idx val="3"/>
              <c:layout>
                <c:manualLayout>
                  <c:x val="1.3693900564166134E-3"/>
                  <c:y val="4.201235891125137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E8D0-46FC-8380-4BE399760C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Ratios!$D$40:$H$40</c:f>
              <c:numCache>
                <c:formatCode>0.00</c:formatCode>
                <c:ptCount val="5"/>
                <c:pt idx="0">
                  <c:v>0.67647780230561694</c:v>
                </c:pt>
                <c:pt idx="1">
                  <c:v>0.66126776975064083</c:v>
                </c:pt>
                <c:pt idx="2">
                  <c:v>1.1004577508350861</c:v>
                </c:pt>
                <c:pt idx="3">
                  <c:v>0.95879363676535567</c:v>
                </c:pt>
                <c:pt idx="4">
                  <c:v>1.0801420481812074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D0-46FC-8380-4BE399760CAF}"/>
            </c:ext>
          </c:extLst>
        </c:ser>
        <c:ser>
          <c:idx val="1"/>
          <c:order val="1"/>
          <c:tx>
            <c:strRef>
              <c:f>Ratios!$C$41</c:f>
              <c:strCache>
                <c:ptCount val="1"/>
                <c:pt idx="0">
                  <c:v>Quick Ratio (Acid Test Ratio)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9.5857303949169973E-3"/>
                  <c:y val="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E8D0-46FC-8380-4BE399760CAF}"/>
                </c:ext>
              </c:extLst>
            </c:dLbl>
            <c:dLbl>
              <c:idx val="3"/>
              <c:layout>
                <c:manualLayout>
                  <c:x val="-1.3693900564168142E-3"/>
                  <c:y val="8.40247178225027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E8D0-46FC-8380-4BE399760C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Ratios!$D$41:$H$41</c:f>
              <c:numCache>
                <c:formatCode>0.00</c:formatCode>
                <c:ptCount val="5"/>
                <c:pt idx="0">
                  <c:v>0.47375521216580824</c:v>
                </c:pt>
                <c:pt idx="1">
                  <c:v>0.42740619902120719</c:v>
                </c:pt>
                <c:pt idx="2">
                  <c:v>0.84386985030310535</c:v>
                </c:pt>
                <c:pt idx="3">
                  <c:v>0.74138311975254079</c:v>
                </c:pt>
                <c:pt idx="4">
                  <c:v>0.80545157884633845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8D0-46FC-8380-4BE399760CAF}"/>
            </c:ext>
          </c:extLst>
        </c:ser>
        <c:ser>
          <c:idx val="2"/>
          <c:order val="2"/>
          <c:tx>
            <c:strRef>
              <c:f>Ratios!$C$42</c:f>
              <c:strCache>
                <c:ptCount val="1"/>
                <c:pt idx="0">
                  <c:v>Cash Ratio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9.5857303949169973E-3"/>
                  <c:y val="1.47043256189378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E8D0-46FC-8380-4BE399760CAF}"/>
                </c:ext>
              </c:extLst>
            </c:dLbl>
            <c:dLbl>
              <c:idx val="3"/>
              <c:layout>
                <c:manualLayout>
                  <c:x val="-2.0084155480233847E-16"/>
                  <c:y val="8.40247178225027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E8D0-46FC-8380-4BE399760C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Ratios!$D$42:$H$42</c:f>
              <c:numCache>
                <c:formatCode>0.00</c:formatCode>
                <c:ptCount val="5"/>
                <c:pt idx="0">
                  <c:v>0.17733627667402502</c:v>
                </c:pt>
                <c:pt idx="1">
                  <c:v>0.12572826846888838</c:v>
                </c:pt>
                <c:pt idx="2">
                  <c:v>0.60546826673264875</c:v>
                </c:pt>
                <c:pt idx="3">
                  <c:v>0.46277065841802911</c:v>
                </c:pt>
                <c:pt idx="4">
                  <c:v>0.55984259525866198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8D0-46FC-8380-4BE399760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9256520"/>
        <c:axId val="689259472"/>
      </c:scatterChart>
      <c:valAx>
        <c:axId val="689256520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9259472"/>
        <c:crosses val="autoZero"/>
        <c:crossBetween val="midCat"/>
        <c:majorUnit val="1"/>
        <c:minorUnit val="1"/>
      </c:valAx>
      <c:valAx>
        <c:axId val="68925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9256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 b="1">
                <a:solidFill>
                  <a:sysClr val="windowText" lastClr="000000"/>
                </a:solidFill>
              </a:rPr>
              <a:t>aston martin lagonda - activity</a:t>
            </a:r>
            <a:r>
              <a:rPr lang="en-GB" sz="1400" b="1" baseline="0">
                <a:solidFill>
                  <a:sysClr val="windowText" lastClr="000000"/>
                </a:solidFill>
              </a:rPr>
              <a:t> ratios (2018 - 2022)</a:t>
            </a:r>
            <a:endParaRPr lang="en-GB" sz="1400" b="1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Ratios!$C$45</c:f>
              <c:strCache>
                <c:ptCount val="1"/>
                <c:pt idx="0">
                  <c:v>Day Sales Outstanding (DSO)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0955120451333723E-2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BE6B-40A4-8215-44D377423F73}"/>
                </c:ext>
              </c:extLst>
            </c:dLbl>
            <c:dLbl>
              <c:idx val="1"/>
              <c:layout>
                <c:manualLayout>
                  <c:x val="-2.0540850846250756E-2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BE6B-40A4-8215-44D377423F73}"/>
                </c:ext>
              </c:extLst>
            </c:dLbl>
            <c:dLbl>
              <c:idx val="2"/>
              <c:layout>
                <c:manualLayout>
                  <c:x val="-2.3279630959084134E-2"/>
                  <c:y val="-1.89055615100630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E6B-40A4-8215-44D377423F73}"/>
                </c:ext>
              </c:extLst>
            </c:dLbl>
            <c:dLbl>
              <c:idx val="3"/>
              <c:layout>
                <c:manualLayout>
                  <c:x val="-2.3279630959084235E-2"/>
                  <c:y val="1.680494356450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BE6B-40A4-8215-44D377423F73}"/>
                </c:ext>
              </c:extLst>
            </c:dLbl>
            <c:dLbl>
              <c:idx val="4"/>
              <c:layout>
                <c:manualLayout>
                  <c:x val="-8.2163403385002824E-3"/>
                  <c:y val="-1.89055615100629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E6B-40A4-8215-44D377423F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Ratios!$D$45:$H$45</c:f>
              <c:numCache>
                <c:formatCode>0.00</c:formatCode>
                <c:ptCount val="5"/>
                <c:pt idx="0">
                  <c:v>81.022343821249422</c:v>
                </c:pt>
                <c:pt idx="1">
                  <c:v>92.046024265516905</c:v>
                </c:pt>
                <c:pt idx="2">
                  <c:v>106.67211507028442</c:v>
                </c:pt>
                <c:pt idx="3">
                  <c:v>81.810919382817502</c:v>
                </c:pt>
                <c:pt idx="4">
                  <c:v>66.579804560260584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6B-40A4-8215-44D377423F73}"/>
            </c:ext>
          </c:extLst>
        </c:ser>
        <c:ser>
          <c:idx val="1"/>
          <c:order val="1"/>
          <c:tx>
            <c:strRef>
              <c:f>Ratios!$C$47</c:f>
              <c:strCache>
                <c:ptCount val="1"/>
                <c:pt idx="0">
                  <c:v>Days Payable Outstanding (DPO)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0955120451333723E-2"/>
                  <c:y val="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E6B-40A4-8215-44D377423F73}"/>
                </c:ext>
              </c:extLst>
            </c:dLbl>
            <c:dLbl>
              <c:idx val="1"/>
              <c:layout>
                <c:manualLayout>
                  <c:x val="-2.0540850846250756E-2"/>
                  <c:y val="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E6B-40A4-8215-44D377423F73}"/>
                </c:ext>
              </c:extLst>
            </c:dLbl>
            <c:dLbl>
              <c:idx val="2"/>
              <c:layout>
                <c:manualLayout>
                  <c:x val="-2.4649021015500948E-2"/>
                  <c:y val="-1.680494356450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E6B-40A4-8215-44D377423F73}"/>
                </c:ext>
              </c:extLst>
            </c:dLbl>
            <c:dLbl>
              <c:idx val="3"/>
              <c:layout>
                <c:manualLayout>
                  <c:x val="-2.4649021015500948E-2"/>
                  <c:y val="1.26037076733753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E6B-40A4-8215-44D377423F73}"/>
                </c:ext>
              </c:extLst>
            </c:dLbl>
            <c:dLbl>
              <c:idx val="4"/>
              <c:layout>
                <c:manualLayout>
                  <c:x val="-6.8469502820837696E-3"/>
                  <c:y val="2.1006179455625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BE6B-40A4-8215-44D377423F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Ratios!$D$47:$H$47</c:f>
              <c:numCache>
                <c:formatCode>0.00</c:formatCode>
                <c:ptCount val="5"/>
                <c:pt idx="0">
                  <c:v>391.29635235356443</c:v>
                </c:pt>
                <c:pt idx="1">
                  <c:v>404.07266220631703</c:v>
                </c:pt>
                <c:pt idx="2">
                  <c:v>427.47353704813258</c:v>
                </c:pt>
                <c:pt idx="3">
                  <c:v>354.89888238424692</c:v>
                </c:pt>
                <c:pt idx="4">
                  <c:v>347.19703480876666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E6B-40A4-8215-44D377423F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092168"/>
        <c:axId val="485092824"/>
      </c:scatterChart>
      <c:valAx>
        <c:axId val="485092168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092824"/>
        <c:crosses val="autoZero"/>
        <c:crossBetween val="midCat"/>
        <c:majorUnit val="1"/>
        <c:minorUnit val="1"/>
      </c:valAx>
      <c:valAx>
        <c:axId val="48509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no. of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days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092168"/>
        <c:crosses val="autoZero"/>
        <c:crossBetween val="midCat"/>
        <c:majorUnit val="50"/>
        <c:minorUnit val="10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aston martin lagonda</a:t>
            </a:r>
            <a:r>
              <a:rPr lang="en-US" sz="1400" baseline="0">
                <a:solidFill>
                  <a:sysClr val="windowText" lastClr="000000"/>
                </a:solidFill>
              </a:rPr>
              <a:t> - activity ratios (2018 - 2022) 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Ratios!$C$46</c:f>
              <c:strCache>
                <c:ptCount val="1"/>
                <c:pt idx="0">
                  <c:v>Inventory Turnover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5.4775602256668552E-3"/>
                  <c:y val="-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06D6-4339-BBA8-E6266B1C2A76}"/>
                </c:ext>
              </c:extLst>
            </c:dLbl>
            <c:dLbl>
              <c:idx val="1"/>
              <c:layout>
                <c:manualLayout>
                  <c:x val="-2.191024090266747E-2"/>
                  <c:y val="-1.4704325618938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06D6-4339-BBA8-E6266B1C2A76}"/>
                </c:ext>
              </c:extLst>
            </c:dLbl>
            <c:dLbl>
              <c:idx val="3"/>
              <c:layout>
                <c:manualLayout>
                  <c:x val="-6.8469502820836699E-3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06D6-4339-BBA8-E6266B1C2A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Ratios!$D$46:$H$46</c:f>
              <c:numCache>
                <c:formatCode>0.00</c:formatCode>
                <c:ptCount val="5"/>
                <c:pt idx="0">
                  <c:v>3.9969751966122202</c:v>
                </c:pt>
                <c:pt idx="1">
                  <c:v>3.5120218579234974</c:v>
                </c:pt>
                <c:pt idx="2">
                  <c:v>2.4538103406027933</c:v>
                </c:pt>
                <c:pt idx="3">
                  <c:v>3.7189510143493316</c:v>
                </c:pt>
                <c:pt idx="4">
                  <c:v>3.8542443064182192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6D6-4339-BBA8-E6266B1C2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9279480"/>
        <c:axId val="689274560"/>
      </c:scatterChart>
      <c:valAx>
        <c:axId val="689279480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>
            <c:manualLayout>
              <c:xMode val="edge"/>
              <c:yMode val="edge"/>
              <c:x val="0.50804046369203848"/>
              <c:y val="0.888958151064450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9274560"/>
        <c:crosses val="autoZero"/>
        <c:crossBetween val="midCat"/>
        <c:majorUnit val="1"/>
        <c:minorUnit val="1"/>
      </c:valAx>
      <c:valAx>
        <c:axId val="68927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no. of inventory turns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9279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ASTON MARTIN LAGONDA - LEVERAGE RATIOS (2018</a:t>
            </a:r>
            <a:r>
              <a:rPr lang="en-GB" sz="1400" baseline="0">
                <a:solidFill>
                  <a:sysClr val="windowText" lastClr="000000"/>
                </a:solidFill>
              </a:rPr>
              <a:t> - 2022)</a:t>
            </a:r>
            <a:endParaRPr lang="en-GB" sz="14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Ratios!$C$52</c:f>
              <c:strCache>
                <c:ptCount val="1"/>
                <c:pt idx="0">
                  <c:v>Gearing Ratio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5.4775602256668674E-3"/>
                  <c:y val="1.47043256189379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7766-4965-839F-238B61D520C5}"/>
                </c:ext>
              </c:extLst>
            </c:dLbl>
            <c:dLbl>
              <c:idx val="1"/>
              <c:layout>
                <c:manualLayout>
                  <c:x val="-2.4649021015500847E-2"/>
                  <c:y val="-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7766-4965-839F-238B61D520C5}"/>
                </c:ext>
              </c:extLst>
            </c:dLbl>
            <c:dLbl>
              <c:idx val="2"/>
              <c:layout>
                <c:manualLayout>
                  <c:x val="-2.0540850846250708E-2"/>
                  <c:y val="-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7766-4965-839F-238B61D520C5}"/>
                </c:ext>
              </c:extLst>
            </c:dLbl>
            <c:dLbl>
              <c:idx val="3"/>
              <c:layout>
                <c:manualLayout>
                  <c:x val="-1.5063290620583952E-2"/>
                  <c:y val="-1.47043256189380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7766-4965-839F-238B61D520C5}"/>
                </c:ext>
              </c:extLst>
            </c:dLbl>
            <c:dLbl>
              <c:idx val="4"/>
              <c:layout>
                <c:manualLayout>
                  <c:x val="-8.2163403385002824E-3"/>
                  <c:y val="-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7766-4965-839F-238B61D520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Ratios!$D$52:$H$52</c:f>
              <c:numCache>
                <c:formatCode>0.00</c:formatCode>
                <c:ptCount val="5"/>
                <c:pt idx="0">
                  <c:v>63.926794027933852</c:v>
                </c:pt>
                <c:pt idx="1">
                  <c:v>73.858256245902837</c:v>
                </c:pt>
                <c:pt idx="2">
                  <c:v>59.521771960734974</c:v>
                </c:pt>
                <c:pt idx="3">
                  <c:v>65.911319878180976</c:v>
                </c:pt>
                <c:pt idx="4">
                  <c:v>62.543638479441434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766-4965-839F-238B61D520C5}"/>
            </c:ext>
          </c:extLst>
        </c:ser>
        <c:ser>
          <c:idx val="1"/>
          <c:order val="1"/>
          <c:tx>
            <c:strRef>
              <c:f>Ratios!$C$53</c:f>
              <c:strCache>
                <c:ptCount val="1"/>
                <c:pt idx="0">
                  <c:v>Debt/Equity Ratio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469502820835693E-3"/>
                  <c:y val="1.05030897278127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7766-4965-839F-238B61D520C5}"/>
                </c:ext>
              </c:extLst>
            </c:dLbl>
            <c:dLbl>
              <c:idx val="2"/>
              <c:layout>
                <c:manualLayout>
                  <c:x val="-2.1910240902667421E-2"/>
                  <c:y val="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7766-4965-839F-238B61D520C5}"/>
                </c:ext>
              </c:extLst>
            </c:dLbl>
            <c:dLbl>
              <c:idx val="3"/>
              <c:layout>
                <c:manualLayout>
                  <c:x val="-2.1910240902667522E-2"/>
                  <c:y val="-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7766-4965-839F-238B61D520C5}"/>
                </c:ext>
              </c:extLst>
            </c:dLbl>
            <c:dLbl>
              <c:idx val="4"/>
              <c:layout>
                <c:manualLayout>
                  <c:x val="-4.1081701692503424E-3"/>
                  <c:y val="-1.89055615100631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7766-4965-839F-238B61D520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Ratios!$D$53:$H$53</c:f>
              <c:numCache>
                <c:formatCode>0.00</c:formatCode>
                <c:ptCount val="5"/>
                <c:pt idx="0">
                  <c:v>358.65598575878954</c:v>
                </c:pt>
                <c:pt idx="1">
                  <c:v>521.64948453608247</c:v>
                </c:pt>
                <c:pt idx="2">
                  <c:v>247.56871035940802</c:v>
                </c:pt>
                <c:pt idx="3">
                  <c:v>330.42095699576015</c:v>
                </c:pt>
                <c:pt idx="4">
                  <c:v>301.85113268608416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766-4965-839F-238B61D520C5}"/>
            </c:ext>
          </c:extLst>
        </c:ser>
        <c:ser>
          <c:idx val="2"/>
          <c:order val="2"/>
          <c:tx>
            <c:strRef>
              <c:f>Ratios!$C$54</c:f>
              <c:strCache>
                <c:ptCount val="1"/>
                <c:pt idx="0">
                  <c:v>Long Term Debt Ratio %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9.5857303949169973E-3"/>
                  <c:y val="4.201235891125060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7766-4965-839F-238B61D520C5}"/>
                </c:ext>
              </c:extLst>
            </c:dLbl>
            <c:dLbl>
              <c:idx val="1"/>
              <c:layout>
                <c:manualLayout>
                  <c:x val="-2.0540850846250708E-2"/>
                  <c:y val="-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7766-4965-839F-238B61D520C5}"/>
                </c:ext>
              </c:extLst>
            </c:dLbl>
            <c:dLbl>
              <c:idx val="2"/>
              <c:layout>
                <c:manualLayout>
                  <c:x val="-5.4775602256668552E-3"/>
                  <c:y val="6.301853836687705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7766-4965-839F-238B61D520C5}"/>
                </c:ext>
              </c:extLst>
            </c:dLbl>
            <c:dLbl>
              <c:idx val="3"/>
              <c:layout>
                <c:manualLayout>
                  <c:x val="-2.0540850846250808E-2"/>
                  <c:y val="-1.68049435645006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7766-4965-839F-238B61D520C5}"/>
                </c:ext>
              </c:extLst>
            </c:dLbl>
            <c:dLbl>
              <c:idx val="4"/>
              <c:layout>
                <c:manualLayout>
                  <c:x val="-5.4775602256670565E-3"/>
                  <c:y val="-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7766-4965-839F-238B61D520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Ratios!$D$54:$H$54</c:f>
              <c:numCache>
                <c:formatCode>0.00</c:formatCode>
                <c:ptCount val="5"/>
                <c:pt idx="0">
                  <c:v>177.21406319537161</c:v>
                </c:pt>
                <c:pt idx="1">
                  <c:v>282.52995263304547</c:v>
                </c:pt>
                <c:pt idx="2">
                  <c:v>147.04638726526554</c:v>
                </c:pt>
                <c:pt idx="3">
                  <c:v>193.35251362810419</c:v>
                </c:pt>
                <c:pt idx="4">
                  <c:v>166.97734627831719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766-4965-839F-238B61D520C5}"/>
            </c:ext>
          </c:extLst>
        </c:ser>
        <c:ser>
          <c:idx val="3"/>
          <c:order val="3"/>
          <c:tx>
            <c:strRef>
              <c:f>Ratios!$C$55</c:f>
              <c:strCache>
                <c:ptCount val="1"/>
                <c:pt idx="0">
                  <c:v>Interest Coverage %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469502820835693E-3"/>
                  <c:y val="-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7766-4965-839F-238B61D520C5}"/>
                </c:ext>
              </c:extLst>
            </c:dLbl>
            <c:dLbl>
              <c:idx val="1"/>
              <c:layout>
                <c:manualLayout>
                  <c:x val="-3.149597129758442E-2"/>
                  <c:y val="1.68049435645004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7766-4965-839F-238B61D520C5}"/>
                </c:ext>
              </c:extLst>
            </c:dLbl>
            <c:dLbl>
              <c:idx val="2"/>
              <c:layout>
                <c:manualLayout>
                  <c:x val="-2.1910240902667421E-2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7766-4965-839F-238B61D520C5}"/>
                </c:ext>
              </c:extLst>
            </c:dLbl>
            <c:dLbl>
              <c:idx val="3"/>
              <c:layout>
                <c:manualLayout>
                  <c:x val="-2.1910240902667522E-2"/>
                  <c:y val="1.2603707673375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7766-4965-839F-238B61D520C5}"/>
                </c:ext>
              </c:extLst>
            </c:dLbl>
            <c:dLbl>
              <c:idx val="4"/>
              <c:layout>
                <c:manualLayout>
                  <c:x val="-6.8469502820837696E-3"/>
                  <c:y val="1.68049435645006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7766-4965-839F-238B61D520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Ratios!$D$55:$H$55</c:f>
              <c:numCache>
                <c:formatCode>0.00</c:formatCode>
                <c:ptCount val="5"/>
                <c:pt idx="0">
                  <c:v>87.394957983193279</c:v>
                </c:pt>
                <c:pt idx="1">
                  <c:v>-47.477360931435967</c:v>
                </c:pt>
                <c:pt idx="2">
                  <c:v>-307.23120837297807</c:v>
                </c:pt>
                <c:pt idx="3">
                  <c:v>-47.427154370737753</c:v>
                </c:pt>
                <c:pt idx="4">
                  <c:v>-78.821567537520849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766-4965-839F-238B61D52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846024"/>
        <c:axId val="759846352"/>
      </c:scatterChart>
      <c:valAx>
        <c:axId val="759846024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>
            <c:manualLayout>
              <c:xMode val="edge"/>
              <c:yMode val="edge"/>
              <c:x val="0.50127105275472761"/>
              <c:y val="0.948269057732258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9846352"/>
        <c:crosses val="autoZero"/>
        <c:crossBetween val="midCat"/>
        <c:majorUnit val="1"/>
        <c:minorUnit val="1"/>
      </c:valAx>
      <c:valAx>
        <c:axId val="759846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RATIO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in"/>
        <c:minorTickMark val="out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9846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aston martin lagonda - investor ratios (2018 - 2022)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Ratios!$C$59</c:f>
              <c:strCache>
                <c:ptCount val="1"/>
                <c:pt idx="0">
                  <c:v>Earnings Per Ordinary Share (p)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Ratios!$D$6:$H$6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Ratios!$D$59:$H$59</c:f>
              <c:numCache>
                <c:formatCode>0.00</c:formatCode>
                <c:ptCount val="5"/>
                <c:pt idx="0">
                  <c:v>-31.024245423057895</c:v>
                </c:pt>
                <c:pt idx="1">
                  <c:v>-49.649122807017541</c:v>
                </c:pt>
                <c:pt idx="2">
                  <c:v>-543.13471502590676</c:v>
                </c:pt>
                <c:pt idx="3">
                  <c:v>-165.88744588744589</c:v>
                </c:pt>
                <c:pt idx="4">
                  <c:v>-124.46432776077232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96-420A-8306-8F4B5EE31494}"/>
            </c:ext>
          </c:extLst>
        </c:ser>
        <c:ser>
          <c:idx val="0"/>
          <c:order val="1"/>
          <c:tx>
            <c:strRef>
              <c:f>Ratios!$C$61</c:f>
              <c:strCache>
                <c:ptCount val="1"/>
                <c:pt idx="0">
                  <c:v>Price Per Earnings Ratio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Ratios!$D$61:$H$61</c:f>
              <c:numCache>
                <c:formatCode>0.00</c:formatCode>
                <c:ptCount val="5"/>
                <c:pt idx="0">
                  <c:v>-253.22807671451355</c:v>
                </c:pt>
                <c:pt idx="1">
                  <c:v>-67.2199187279152</c:v>
                </c:pt>
                <c:pt idx="2">
                  <c:v>-3.6988981636060099</c:v>
                </c:pt>
                <c:pt idx="3">
                  <c:v>-8.1561325678496868</c:v>
                </c:pt>
                <c:pt idx="4">
                  <c:v>-1.2377040295119182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96-420A-8306-8F4B5EE314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5247824"/>
        <c:axId val="685244544"/>
      </c:barChart>
      <c:catAx>
        <c:axId val="68524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244544"/>
        <c:crosses val="autoZero"/>
        <c:auto val="1"/>
        <c:lblAlgn val="ctr"/>
        <c:lblOffset val="100"/>
        <c:noMultiLvlLbl val="0"/>
      </c:catAx>
      <c:valAx>
        <c:axId val="68524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2"/>
                    </a:solidFill>
                  </a:rPr>
                  <a:t>Earnings</a:t>
                </a:r>
                <a:r>
                  <a:rPr lang="en-GB" baseline="0">
                    <a:solidFill>
                      <a:schemeClr val="accent2"/>
                    </a:solidFill>
                  </a:rPr>
                  <a:t> Per Ordinary Share (p)</a:t>
                </a:r>
              </a:p>
              <a:p>
                <a:pPr>
                  <a:defRPr/>
                </a:pPr>
                <a:r>
                  <a:rPr lang="en-GB" baseline="0">
                    <a:solidFill>
                      <a:srgbClr val="0070C0"/>
                    </a:solidFill>
                  </a:rPr>
                  <a:t>Price Per Earings Ratio</a:t>
                </a:r>
                <a:endParaRPr lang="en-GB">
                  <a:solidFill>
                    <a:srgbClr val="0070C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in"/>
        <c:tickLblPos val="nextTo"/>
        <c:spPr>
          <a:noFill/>
          <a:ln>
            <a:solidFill>
              <a:schemeClr val="dk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2478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REVENUE - ASTON MARTIN LAGONDA VS MCLAREN (2018 - 2022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Aston Martin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'Ratios (MCLAREN)'!$D$8:$H$8</c:f>
              <c:numCache>
                <c:formatCode>0.0</c:formatCode>
                <c:ptCount val="5"/>
                <c:pt idx="0">
                  <c:v>1096.5</c:v>
                </c:pt>
                <c:pt idx="1">
                  <c:v>997.3</c:v>
                </c:pt>
                <c:pt idx="2">
                  <c:v>611.79999999999995</c:v>
                </c:pt>
                <c:pt idx="3">
                  <c:v>1095.3</c:v>
                </c:pt>
                <c:pt idx="4">
                  <c:v>1381.5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81-4370-B2B9-D833B57A7933}"/>
            </c:ext>
          </c:extLst>
        </c:ser>
        <c:ser>
          <c:idx val="1"/>
          <c:order val="1"/>
          <c:tx>
            <c:v>Mclaren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'Ratios (MCLAREN)'!$K$8:$O$8</c:f>
              <c:numCache>
                <c:formatCode>0.0</c:formatCode>
                <c:ptCount val="5"/>
                <c:pt idx="0">
                  <c:v>1257.0160000000001</c:v>
                </c:pt>
                <c:pt idx="1">
                  <c:v>1486.09</c:v>
                </c:pt>
                <c:pt idx="2">
                  <c:v>772.78499999999997</c:v>
                </c:pt>
                <c:pt idx="3">
                  <c:v>610.4</c:v>
                </c:pt>
                <c:pt idx="4">
                  <c:v>627.79999999999995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81-4370-B2B9-D833B57A79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0351704"/>
        <c:axId val="760357280"/>
      </c:barChart>
      <c:catAx>
        <c:axId val="760351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357280"/>
        <c:crosses val="autoZero"/>
        <c:auto val="1"/>
        <c:lblAlgn val="ctr"/>
        <c:lblOffset val="100"/>
        <c:noMultiLvlLbl val="0"/>
      </c:catAx>
      <c:valAx>
        <c:axId val="76035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Revenue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(£M GBP)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3517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 Aston martin lagonda vs mclaren -</a:t>
            </a:r>
            <a:r>
              <a:rPr lang="en-GB" sz="1400" baseline="0">
                <a:solidFill>
                  <a:sysClr val="windowText" lastClr="000000"/>
                </a:solidFill>
              </a:rPr>
              <a:t> gross profit margin % (2018 - 2022)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'Ratios (MCLAREN)'!$C$32</c:f>
              <c:strCache>
                <c:ptCount val="1"/>
                <c:pt idx="0">
                  <c:v>Gross Profit Margin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2.1910240902667421E-2"/>
                  <c:y val="-3.99117409656888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3847-45B9-83B2-38DDAC50C924}"/>
                </c:ext>
              </c:extLst>
            </c:dLbl>
            <c:dLbl>
              <c:idx val="3"/>
              <c:layout>
                <c:manualLayout>
                  <c:x val="-2.4649021015500847E-2"/>
                  <c:y val="-2.10061794556257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3847-45B9-83B2-38DDAC50C924}"/>
                </c:ext>
              </c:extLst>
            </c:dLbl>
            <c:dLbl>
              <c:idx val="4"/>
              <c:layout>
                <c:manualLayout>
                  <c:x val="-8.2163403385002824E-3"/>
                  <c:y val="-1.68049435645005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3847-45B9-83B2-38DDAC50C9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(MCLAREN)'!$D$32:$H$32</c:f>
              <c:numCache>
                <c:formatCode>0.00</c:formatCode>
                <c:ptCount val="5"/>
                <c:pt idx="0">
                  <c:v>39.74464204286366</c:v>
                </c:pt>
                <c:pt idx="1">
                  <c:v>35.556001203248776</c:v>
                </c:pt>
                <c:pt idx="2">
                  <c:v>18.159529257927428</c:v>
                </c:pt>
                <c:pt idx="3">
                  <c:v>31.379530722176575</c:v>
                </c:pt>
                <c:pt idx="4">
                  <c:v>32.623959464350342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847-45B9-83B2-38DDAC50C924}"/>
            </c:ext>
          </c:extLst>
        </c:ser>
        <c:ser>
          <c:idx val="1"/>
          <c:order val="1"/>
          <c:tx>
            <c:strRef>
              <c:f>'Ratios (MCLAREN)'!$J$32</c:f>
              <c:strCache>
                <c:ptCount val="1"/>
                <c:pt idx="0">
                  <c:v>Gross Profit Margin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1.3693900564167138E-3"/>
                  <c:y val="1.680494356450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3847-45B9-83B2-38DDAC50C924}"/>
                </c:ext>
              </c:extLst>
            </c:dLbl>
            <c:dLbl>
              <c:idx val="2"/>
              <c:layout>
                <c:manualLayout>
                  <c:x val="-8.2163403385002824E-3"/>
                  <c:y val="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3847-45B9-83B2-38DDAC50C924}"/>
                </c:ext>
              </c:extLst>
            </c:dLbl>
            <c:dLbl>
              <c:idx val="4"/>
              <c:layout>
                <c:manualLayout>
                  <c:x val="-6.8469502820835693E-3"/>
                  <c:y val="2.94086512378759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3847-45B9-83B2-38DDAC50C9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(MCLAREN)'!$K$32:$O$32</c:f>
              <c:numCache>
                <c:formatCode>0.00</c:formatCode>
                <c:ptCount val="5"/>
                <c:pt idx="0">
                  <c:v>28.636628332495366</c:v>
                </c:pt>
                <c:pt idx="1">
                  <c:v>30.1640546669448</c:v>
                </c:pt>
                <c:pt idx="2">
                  <c:v>18.755281223108625</c:v>
                </c:pt>
                <c:pt idx="3">
                  <c:v>27.309960681520312</c:v>
                </c:pt>
                <c:pt idx="4">
                  <c:v>19.385154507805037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847-45B9-83B2-38DDAC50C9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5737616"/>
        <c:axId val="685737944"/>
      </c:scatterChart>
      <c:valAx>
        <c:axId val="685737616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737944"/>
        <c:crosses val="autoZero"/>
        <c:crossBetween val="midCat"/>
        <c:majorUnit val="1"/>
        <c:minorUnit val="1"/>
      </c:valAx>
      <c:valAx>
        <c:axId val="68573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gross profit margin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ratio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737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solidFill>
                  <a:sysClr val="windowText" lastClr="000000"/>
                </a:solidFill>
              </a:rPr>
              <a:t> </a:t>
            </a:r>
            <a:r>
              <a:rPr lang="en-GB" sz="1400">
                <a:solidFill>
                  <a:sysClr val="windowText" lastClr="000000"/>
                </a:solidFill>
              </a:rPr>
              <a:t>Aston martin lagonda vs mclaren -</a:t>
            </a:r>
            <a:r>
              <a:rPr lang="en-GB" sz="1400" baseline="0">
                <a:solidFill>
                  <a:sysClr val="windowText" lastClr="000000"/>
                </a:solidFill>
              </a:rPr>
              <a:t> operating profit margin % </a:t>
            </a:r>
            <a:r>
              <a:rPr lang="en-GB" sz="1400" b="1" i="0" u="none" strike="noStrike" cap="all" normalizeH="0" baseline="0">
                <a:effectLst/>
              </a:rPr>
              <a:t>(2018 - 2022)</a:t>
            </a:r>
            <a:endParaRPr lang="en-GB" sz="1400" baseline="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'Ratios (MCLAREN)'!$C$33</c:f>
              <c:strCache>
                <c:ptCount val="1"/>
                <c:pt idx="0">
                  <c:v>Operating Profit Margin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2.7387801128334289E-3"/>
                  <c:y val="-1.7347234759768071E-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0379972314599143E-2"/>
                      <c:h val="2.681447077660010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A8D-48E7-BFBC-E4256CBF5AE5}"/>
                </c:ext>
              </c:extLst>
            </c:dLbl>
            <c:dLbl>
              <c:idx val="1"/>
              <c:layout>
                <c:manualLayout>
                  <c:x val="-3.286536135400113E-2"/>
                  <c:y val="1.68049435645005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7A8D-48E7-BFBC-E4256CBF5AE5}"/>
                </c:ext>
              </c:extLst>
            </c:dLbl>
            <c:dLbl>
              <c:idx val="3"/>
              <c:layout>
                <c:manualLayout>
                  <c:x val="-9.5857303949168967E-3"/>
                  <c:y val="-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7A8D-48E7-BFBC-E4256CBF5AE5}"/>
                </c:ext>
              </c:extLst>
            </c:dLbl>
            <c:dLbl>
              <c:idx val="4"/>
              <c:layout>
                <c:manualLayout>
                  <c:x val="-9.5857303949169973E-3"/>
                  <c:y val="-2.52074153467508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7A8D-48E7-BFBC-E4256CBF5A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(MCLAREN)'!$D$33:$H$33</c:f>
              <c:numCache>
                <c:formatCode>0.00</c:formatCode>
                <c:ptCount val="5"/>
                <c:pt idx="0">
                  <c:v>6.6393068855449151</c:v>
                </c:pt>
                <c:pt idx="1">
                  <c:v>-3.6799358267321773</c:v>
                </c:pt>
                <c:pt idx="2">
                  <c:v>-52.778685845047399</c:v>
                </c:pt>
                <c:pt idx="3">
                  <c:v>-6.9843878389482335</c:v>
                </c:pt>
                <c:pt idx="4">
                  <c:v>-10.264205573651829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8D-48E7-BFBC-E4256CBF5AE5}"/>
            </c:ext>
          </c:extLst>
        </c:ser>
        <c:ser>
          <c:idx val="1"/>
          <c:order val="1"/>
          <c:tx>
            <c:strRef>
              <c:f>'Ratios (MCLAREN)'!$J$33</c:f>
              <c:strCache>
                <c:ptCount val="1"/>
                <c:pt idx="0">
                  <c:v>Operating Profit Margin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506329062058384E-2"/>
                  <c:y val="-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7A8D-48E7-BFBC-E4256CBF5AE5}"/>
                </c:ext>
              </c:extLst>
            </c:dLbl>
            <c:dLbl>
              <c:idx val="3"/>
              <c:layout>
                <c:manualLayout>
                  <c:x val="0"/>
                  <c:y val="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7A8D-48E7-BFBC-E4256CBF5AE5}"/>
                </c:ext>
              </c:extLst>
            </c:dLbl>
            <c:dLbl>
              <c:idx val="4"/>
              <c:layout>
                <c:manualLayout>
                  <c:x val="-1.3693900564167138E-3"/>
                  <c:y val="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7A8D-48E7-BFBC-E4256CBF5A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(MCLAREN)'!$K$33:$O$33</c:f>
              <c:numCache>
                <c:formatCode>0.00</c:formatCode>
                <c:ptCount val="5"/>
                <c:pt idx="0">
                  <c:v>-0.31145188287181708</c:v>
                </c:pt>
                <c:pt idx="1">
                  <c:v>1.6745957512667471</c:v>
                </c:pt>
                <c:pt idx="2">
                  <c:v>-37.674126697593771</c:v>
                </c:pt>
                <c:pt idx="3">
                  <c:v>-23.591087811271301</c:v>
                </c:pt>
                <c:pt idx="4">
                  <c:v>-20.914303918445366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A8D-48E7-BFBC-E4256CBF5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5737616"/>
        <c:axId val="685737944"/>
      </c:scatterChart>
      <c:valAx>
        <c:axId val="685737616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737944"/>
        <c:crosses val="autoZero"/>
        <c:crossBetween val="midCat"/>
        <c:majorUnit val="1"/>
        <c:minorUnit val="1"/>
      </c:valAx>
      <c:valAx>
        <c:axId val="68573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gross profit margin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ratio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737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 Aston martin lagonda vs mclaren -</a:t>
            </a:r>
            <a:r>
              <a:rPr lang="en-GB" sz="1400" baseline="0">
                <a:solidFill>
                  <a:sysClr val="windowText" lastClr="000000"/>
                </a:solidFill>
              </a:rPr>
              <a:t> net profit margin % </a:t>
            </a:r>
            <a:r>
              <a:rPr lang="en-GB" sz="1400" b="1" i="0" u="none" strike="noStrike" cap="all" normalizeH="0" baseline="0">
                <a:effectLst/>
              </a:rPr>
              <a:t>(2018 - 2022)</a:t>
            </a:r>
            <a:endParaRPr lang="en-GB" sz="1400" baseline="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'Ratios (MCLAREN)'!$C$34</c:f>
              <c:strCache>
                <c:ptCount val="1"/>
                <c:pt idx="0">
                  <c:v>Net Profit Margin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3693900564167139E-2"/>
                  <c:y val="3.36098871290010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0648-41D0-A782-AFAE5BD27AA3}"/>
                </c:ext>
              </c:extLst>
            </c:dLbl>
            <c:dLbl>
              <c:idx val="4"/>
              <c:layout>
                <c:manualLayout>
                  <c:x val="-4.1081701692501412E-3"/>
                  <c:y val="-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0648-41D0-A782-AFAE5BD27AA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(MCLAREN)'!$D$34:$H$34</c:f>
              <c:numCache>
                <c:formatCode>0.00</c:formatCode>
                <c:ptCount val="5"/>
                <c:pt idx="0">
                  <c:v>-5.2074783401732789</c:v>
                </c:pt>
                <c:pt idx="1">
                  <c:v>-10.468264313646849</c:v>
                </c:pt>
                <c:pt idx="2">
                  <c:v>-67.097090552468131</c:v>
                </c:pt>
                <c:pt idx="3">
                  <c:v>-17.282936181867985</c:v>
                </c:pt>
                <c:pt idx="4">
                  <c:v>-38.197611292073837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48-41D0-A782-AFAE5BD27AA3}"/>
            </c:ext>
          </c:extLst>
        </c:ser>
        <c:ser>
          <c:idx val="1"/>
          <c:order val="1"/>
          <c:tx>
            <c:strRef>
              <c:f>'Ratios (MCLAREN)'!$J$34</c:f>
              <c:strCache>
                <c:ptCount val="1"/>
                <c:pt idx="0">
                  <c:v>Net Profit Margin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6.8469502820835814E-3"/>
                  <c:y val="-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0648-41D0-A782-AFAE5BD27AA3}"/>
                </c:ext>
              </c:extLst>
            </c:dLbl>
            <c:dLbl>
              <c:idx val="1"/>
              <c:layout>
                <c:manualLayout>
                  <c:x val="-3.0126581241167755E-2"/>
                  <c:y val="2.94086512378759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0648-41D0-A782-AFAE5BD27AA3}"/>
                </c:ext>
              </c:extLst>
            </c:dLbl>
            <c:dLbl>
              <c:idx val="4"/>
              <c:layout>
                <c:manualLayout>
                  <c:x val="-1.3693900564169146E-3"/>
                  <c:y val="2.1006179455625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0648-41D0-A782-AFAE5BD27AA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(MCLAREN)'!$K$34:$O$34</c:f>
              <c:numCache>
                <c:formatCode>0.00</c:formatCode>
                <c:ptCount val="5"/>
                <c:pt idx="0">
                  <c:v>-4.7888014154155547</c:v>
                </c:pt>
                <c:pt idx="1">
                  <c:v>-2.2255045118397945</c:v>
                </c:pt>
                <c:pt idx="2">
                  <c:v>-35.554390936677088</c:v>
                </c:pt>
                <c:pt idx="3">
                  <c:v>-22.280471821756226</c:v>
                </c:pt>
                <c:pt idx="4">
                  <c:v>-53.313157056387382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648-41D0-A782-AFAE5BD27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5737616"/>
        <c:axId val="685737944"/>
      </c:scatterChart>
      <c:valAx>
        <c:axId val="685737616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737944"/>
        <c:crosses val="autoZero"/>
        <c:crossBetween val="midCat"/>
        <c:majorUnit val="1"/>
        <c:minorUnit val="1"/>
      </c:valAx>
      <c:valAx>
        <c:axId val="68573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gross profit margin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ratio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737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ASTON MARTIN LAGONDA VS MCLAREN</a:t>
            </a:r>
            <a:r>
              <a:rPr lang="en-GB" sz="1400" baseline="0">
                <a:solidFill>
                  <a:sysClr val="windowText" lastClr="000000"/>
                </a:solidFill>
              </a:rPr>
              <a:t> - RETURN ON ASSETS &amp; RETURN ON EQUITY (2018 - 2022)</a:t>
            </a:r>
            <a:endParaRPr lang="en-GB" sz="14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114795644951429E-2"/>
          <c:y val="0.15556151006311777"/>
          <c:w val="0.89270246647636098"/>
          <c:h val="0.78565261402881981"/>
        </c:manualLayout>
      </c:layout>
      <c:scatterChart>
        <c:scatterStyle val="lineMarker"/>
        <c:varyColors val="0"/>
        <c:ser>
          <c:idx val="0"/>
          <c:order val="0"/>
          <c:tx>
            <c:strRef>
              <c:f>'Ratios (MCLAREN)'!$C$35</c:f>
              <c:strCache>
                <c:ptCount val="1"/>
                <c:pt idx="0">
                  <c:v>Return on Assets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2.738780112833415E-3"/>
                  <c:y val="-2.94086512378759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0CFA-44CF-8D53-B8B2C3FC3852}"/>
                </c:ext>
              </c:extLst>
            </c:dLbl>
            <c:dLbl>
              <c:idx val="1"/>
              <c:layout>
                <c:manualLayout>
                  <c:x val="-1.5063290620583902E-2"/>
                  <c:y val="2.31067974011882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0CFA-44CF-8D53-B8B2C3FC3852}"/>
                </c:ext>
              </c:extLst>
            </c:dLbl>
            <c:dLbl>
              <c:idx val="2"/>
              <c:layout>
                <c:manualLayout>
                  <c:x val="-8.2163403385001818E-3"/>
                  <c:y val="-3.57105050745637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0CFA-44CF-8D53-B8B2C3FC3852}"/>
                </c:ext>
              </c:extLst>
            </c:dLbl>
            <c:dLbl>
              <c:idx val="3"/>
              <c:layout>
                <c:manualLayout>
                  <c:x val="1.6432680677000565E-2"/>
                  <c:y val="-2.10061794556257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0CFA-44CF-8D53-B8B2C3FC3852}"/>
                </c:ext>
              </c:extLst>
            </c:dLbl>
            <c:dLbl>
              <c:idx val="4"/>
              <c:layout>
                <c:manualLayout>
                  <c:x val="-2.7387801128334276E-3"/>
                  <c:y val="-3.36098871290011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0CFA-44CF-8D53-B8B2C3FC38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(MCLAREN)'!$D$35:$H$35</c:f>
              <c:numCache>
                <c:formatCode>0.00</c:formatCode>
                <c:ptCount val="5"/>
                <c:pt idx="0">
                  <c:v>-2.7702309334368334</c:v>
                </c:pt>
                <c:pt idx="1">
                  <c:v>-4.6793061718434856</c:v>
                </c:pt>
                <c:pt idx="2">
                  <c:v>-14.687991985115211</c:v>
                </c:pt>
                <c:pt idx="3">
                  <c:v>-6.6596306068601594</c:v>
                </c:pt>
                <c:pt idx="4">
                  <c:v>-16.999001385175401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FA-44CF-8D53-B8B2C3FC3852}"/>
            </c:ext>
          </c:extLst>
        </c:ser>
        <c:ser>
          <c:idx val="1"/>
          <c:order val="1"/>
          <c:tx>
            <c:strRef>
              <c:f>'Ratios (MCLAREN)'!$J$35</c:f>
              <c:strCache>
                <c:ptCount val="1"/>
                <c:pt idx="0">
                  <c:v>Return on Assets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2.738780112833415E-3"/>
                  <c:y val="2.73080332923133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0CFA-44CF-8D53-B8B2C3FC3852}"/>
                </c:ext>
              </c:extLst>
            </c:dLbl>
            <c:dLbl>
              <c:idx val="1"/>
              <c:layout>
                <c:manualLayout>
                  <c:x val="-1.3693900564167641E-3"/>
                  <c:y val="-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0CFA-44CF-8D53-B8B2C3FC3852}"/>
                </c:ext>
              </c:extLst>
            </c:dLbl>
            <c:dLbl>
              <c:idx val="2"/>
              <c:layout>
                <c:manualLayout>
                  <c:x val="1.3693900564167138E-3"/>
                  <c:y val="1.05030897278128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0CFA-44CF-8D53-B8B2C3FC3852}"/>
                </c:ext>
              </c:extLst>
            </c:dLbl>
            <c:dLbl>
              <c:idx val="4"/>
              <c:layout>
                <c:manualLayout>
                  <c:x val="-2.0084155480233847E-16"/>
                  <c:y val="2.7308033292313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0CFA-44CF-8D53-B8B2C3FC38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(MCLAREN)'!$K$35:$O$35</c:f>
              <c:numCache>
                <c:formatCode>0.00</c:formatCode>
                <c:ptCount val="5"/>
                <c:pt idx="0">
                  <c:v>-3.7892913302555362</c:v>
                </c:pt>
                <c:pt idx="1">
                  <c:v>-1.8515294306013761</c:v>
                </c:pt>
                <c:pt idx="2">
                  <c:v>-16.424732355872091</c:v>
                </c:pt>
                <c:pt idx="3">
                  <c:v>-9.3004171510633942</c:v>
                </c:pt>
                <c:pt idx="4">
                  <c:v>-23.98939220183486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CFA-44CF-8D53-B8B2C3FC3852}"/>
            </c:ext>
          </c:extLst>
        </c:ser>
        <c:ser>
          <c:idx val="2"/>
          <c:order val="2"/>
          <c:tx>
            <c:strRef>
              <c:f>'Ratios (MCLAREN)'!$C$36</c:f>
              <c:strCache>
                <c:ptCount val="1"/>
                <c:pt idx="0">
                  <c:v>Return on Equity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dLbls>
            <c:dLbl>
              <c:idx val="4"/>
              <c:layout>
                <c:manualLayout>
                  <c:x val="-2.0084155480233847E-16"/>
                  <c:y val="-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0CFA-44CF-8D53-B8B2C3FC38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(MCLAREN)'!$D$36:$H$36</c:f>
              <c:numCache>
                <c:formatCode>0.00</c:formatCode>
                <c:ptCount val="5"/>
                <c:pt idx="0">
                  <c:v>-12.705829995549623</c:v>
                </c:pt>
                <c:pt idx="1">
                  <c:v>-29.088882697130124</c:v>
                </c:pt>
                <c:pt idx="2">
                  <c:v>-51.050864320358158</c:v>
                </c:pt>
                <c:pt idx="3">
                  <c:v>-28.664445790430044</c:v>
                </c:pt>
                <c:pt idx="4">
                  <c:v>-68.3106796116505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CFA-44CF-8D53-B8B2C3FC3852}"/>
            </c:ext>
          </c:extLst>
        </c:ser>
        <c:ser>
          <c:idx val="3"/>
          <c:order val="3"/>
          <c:tx>
            <c:strRef>
              <c:f>'Ratios (MCLAREN)'!$J$36</c:f>
              <c:strCache>
                <c:ptCount val="1"/>
                <c:pt idx="0">
                  <c:v>Return on Equity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(MCLAREN)'!$K$36:$O$36</c:f>
              <c:numCache>
                <c:formatCode>0.00</c:formatCode>
                <c:ptCount val="5"/>
                <c:pt idx="0">
                  <c:v>-25.498028219128184</c:v>
                </c:pt>
                <c:pt idx="1">
                  <c:v>-11.911287505267214</c:v>
                </c:pt>
                <c:pt idx="2">
                  <c:v>-61.560297989133481</c:v>
                </c:pt>
                <c:pt idx="3">
                  <c:v>-22.013596633214636</c:v>
                </c:pt>
                <c:pt idx="4">
                  <c:v>-80.631173211274387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CFA-44CF-8D53-B8B2C3FC3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1856224"/>
        <c:axId val="831852288"/>
      </c:scatterChart>
      <c:valAx>
        <c:axId val="831856224"/>
        <c:scaling>
          <c:orientation val="minMax"/>
          <c:max val="2022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1852288"/>
        <c:crosses val="autoZero"/>
        <c:crossBetween val="midCat"/>
        <c:majorUnit val="1"/>
        <c:minorUnit val="1"/>
      </c:valAx>
      <c:valAx>
        <c:axId val="831852288"/>
        <c:scaling>
          <c:orientation val="minMax"/>
          <c:min val="-8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ratio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1856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400">
                <a:solidFill>
                  <a:sysClr val="windowText" lastClr="000000"/>
                </a:solidFill>
              </a:rPr>
              <a:t>Aston Martin lagona vs mclaren - liquidity ratios</a:t>
            </a:r>
            <a:r>
              <a:rPr lang="en-GB" sz="1400" baseline="0">
                <a:solidFill>
                  <a:sysClr val="windowText" lastClr="000000"/>
                </a:solidFill>
              </a:rPr>
              <a:t> (2018 - 2022)</a:t>
            </a:r>
            <a:endParaRPr lang="en-GB" sz="14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'Ratios (MCLAREN)'!$C$40</c:f>
              <c:strCache>
                <c:ptCount val="1"/>
                <c:pt idx="0">
                  <c:v>Current Ratio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469502820835693E-3"/>
                  <c:y val="-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B812-407F-B726-1E555DC1EE1D}"/>
                </c:ext>
              </c:extLst>
            </c:dLbl>
            <c:dLbl>
              <c:idx val="1"/>
              <c:layout>
                <c:manualLayout>
                  <c:x val="-2.4649021015500847E-2"/>
                  <c:y val="-2.31067974011882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B812-407F-B726-1E555DC1EE1D}"/>
                </c:ext>
              </c:extLst>
            </c:dLbl>
            <c:dLbl>
              <c:idx val="2"/>
              <c:layout>
                <c:manualLayout>
                  <c:x val="-6.8469502820835693E-3"/>
                  <c:y val="2.73080332923133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B812-407F-B726-1E555DC1EE1D}"/>
                </c:ext>
              </c:extLst>
            </c:dLbl>
            <c:dLbl>
              <c:idx val="3"/>
              <c:layout>
                <c:manualLayout>
                  <c:x val="-4.1081701692501412E-3"/>
                  <c:y val="1.2603707673375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7-B812-407F-B726-1E555DC1EE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(MCLAREN)'!$D$40:$H$40</c:f>
              <c:numCache>
                <c:formatCode>0.00</c:formatCode>
                <c:ptCount val="5"/>
                <c:pt idx="0">
                  <c:v>0.67647780230561694</c:v>
                </c:pt>
                <c:pt idx="1">
                  <c:v>0.66126776975064083</c:v>
                </c:pt>
                <c:pt idx="2">
                  <c:v>1.1004577508350861</c:v>
                </c:pt>
                <c:pt idx="3">
                  <c:v>0.95879363676535567</c:v>
                </c:pt>
                <c:pt idx="4">
                  <c:v>1.0801420481812074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812-407F-B726-1E555DC1EE1D}"/>
            </c:ext>
          </c:extLst>
        </c:ser>
        <c:ser>
          <c:idx val="1"/>
          <c:order val="1"/>
          <c:tx>
            <c:strRef>
              <c:f>'Ratios (MCLAREN)'!$J$40</c:f>
              <c:strCache>
                <c:ptCount val="1"/>
                <c:pt idx="0">
                  <c:v>Current Ratio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2.0540850846250708E-2"/>
                  <c:y val="-2.31067974011882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B812-407F-B726-1E555DC1EE1D}"/>
                </c:ext>
              </c:extLst>
            </c:dLbl>
            <c:dLbl>
              <c:idx val="2"/>
              <c:layout>
                <c:manualLayout>
                  <c:x val="-1.9171460789833995E-2"/>
                  <c:y val="-3.36098871290010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B812-407F-B726-1E555DC1EE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(MCLAREN)'!$K$40:$O$40</c:f>
              <c:numCache>
                <c:formatCode>0.00</c:formatCode>
                <c:ptCount val="5"/>
                <c:pt idx="0">
                  <c:v>0.8176336885253227</c:v>
                </c:pt>
                <c:pt idx="1">
                  <c:v>0.80665275391112656</c:v>
                </c:pt>
                <c:pt idx="2">
                  <c:v>1.1157621297065337</c:v>
                </c:pt>
                <c:pt idx="3">
                  <c:v>1.6480117820324005</c:v>
                </c:pt>
                <c:pt idx="4">
                  <c:v>1.2066215563073948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812-407F-B726-1E555DC1EE1D}"/>
            </c:ext>
          </c:extLst>
        </c:ser>
        <c:ser>
          <c:idx val="2"/>
          <c:order val="2"/>
          <c:tx>
            <c:strRef>
              <c:f>'Ratios (MCLAREN)'!$C$41</c:f>
              <c:strCache>
                <c:ptCount val="1"/>
                <c:pt idx="0">
                  <c:v>Quick Ratio (Acid Test Ratio)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5.4775602256668552E-3"/>
                  <c:y val="1.26037076733752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8-B812-407F-B726-1E555DC1EE1D}"/>
                </c:ext>
              </c:extLst>
            </c:dLbl>
            <c:dLbl>
              <c:idx val="2"/>
              <c:layout>
                <c:manualLayout>
                  <c:x val="-5.4775602256669558E-3"/>
                  <c:y val="2.31067974011882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9-B812-407F-B726-1E555DC1EE1D}"/>
                </c:ext>
              </c:extLst>
            </c:dLbl>
            <c:dLbl>
              <c:idx val="3"/>
              <c:layout>
                <c:manualLayout>
                  <c:x val="-2.7387801128334276E-3"/>
                  <c:y val="1.68049435645004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A-B812-407F-B726-1E555DC1EE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(MCLAREN)'!$D$41:$H$41</c:f>
              <c:numCache>
                <c:formatCode>0.00</c:formatCode>
                <c:ptCount val="5"/>
                <c:pt idx="0">
                  <c:v>0.47375521216580824</c:v>
                </c:pt>
                <c:pt idx="1">
                  <c:v>0.42740619902120719</c:v>
                </c:pt>
                <c:pt idx="2">
                  <c:v>0.84386985030310535</c:v>
                </c:pt>
                <c:pt idx="3">
                  <c:v>0.74138311975254079</c:v>
                </c:pt>
                <c:pt idx="4">
                  <c:v>0.80545157884633845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812-407F-B726-1E555DC1EE1D}"/>
            </c:ext>
          </c:extLst>
        </c:ser>
        <c:ser>
          <c:idx val="3"/>
          <c:order val="3"/>
          <c:tx>
            <c:strRef>
              <c:f>'Ratios (MCLAREN)'!$J$41</c:f>
              <c:strCache>
                <c:ptCount val="1"/>
                <c:pt idx="0">
                  <c:v>Quick Ratio (Acid Test Ratio)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3693900564167138E-3"/>
                  <c:y val="1.68049435645003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B-B812-407F-B726-1E555DC1EE1D}"/>
                </c:ext>
              </c:extLst>
            </c:dLbl>
            <c:dLbl>
              <c:idx val="4"/>
              <c:layout>
                <c:manualLayout>
                  <c:x val="-1.3693900564167139E-2"/>
                  <c:y val="-3.15092691834384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B812-407F-B726-1E555DC1EE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(MCLAREN)'!$K$41:$O$41</c:f>
              <c:numCache>
                <c:formatCode>0.00</c:formatCode>
                <c:ptCount val="5"/>
                <c:pt idx="0">
                  <c:v>0.58617849365629282</c:v>
                </c:pt>
                <c:pt idx="1">
                  <c:v>0.60416207692605539</c:v>
                </c:pt>
                <c:pt idx="2">
                  <c:v>0.87184212347729773</c:v>
                </c:pt>
                <c:pt idx="3">
                  <c:v>1.0727540500736377</c:v>
                </c:pt>
                <c:pt idx="4">
                  <c:v>0.80159497341710984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812-407F-B726-1E555DC1EE1D}"/>
            </c:ext>
          </c:extLst>
        </c:ser>
        <c:ser>
          <c:idx val="4"/>
          <c:order val="4"/>
          <c:tx>
            <c:strRef>
              <c:f>'Ratios (MCLAREN)'!$C$42</c:f>
              <c:strCache>
                <c:ptCount val="1"/>
                <c:pt idx="0">
                  <c:v>Cash Ratio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4.1081701692501412E-3"/>
                  <c:y val="-2.10061794556258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B812-407F-B726-1E555DC1EE1D}"/>
                </c:ext>
              </c:extLst>
            </c:dLbl>
            <c:dLbl>
              <c:idx val="1"/>
              <c:layout>
                <c:manualLayout>
                  <c:x val="-1.7802070733417278E-2"/>
                  <c:y val="-2.94086512378759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B812-407F-B726-1E555DC1EE1D}"/>
                </c:ext>
              </c:extLst>
            </c:dLbl>
            <c:dLbl>
              <c:idx val="2"/>
              <c:layout>
                <c:manualLayout>
                  <c:x val="-1.6432680677000565E-2"/>
                  <c:y val="2.10061794556257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B812-407F-B726-1E555DC1EE1D}"/>
                </c:ext>
              </c:extLst>
            </c:dLbl>
            <c:dLbl>
              <c:idx val="3"/>
              <c:layout>
                <c:manualLayout>
                  <c:x val="-8.2163403385002824E-3"/>
                  <c:y val="1.8905561510063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B812-407F-B726-1E555DC1EE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5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(MCLAREN)'!$D$42:$H$42</c:f>
              <c:numCache>
                <c:formatCode>0.00</c:formatCode>
                <c:ptCount val="5"/>
                <c:pt idx="0">
                  <c:v>0.17733627667402502</c:v>
                </c:pt>
                <c:pt idx="1">
                  <c:v>0.12572826846888838</c:v>
                </c:pt>
                <c:pt idx="2">
                  <c:v>0.60546826673264875</c:v>
                </c:pt>
                <c:pt idx="3">
                  <c:v>0.46277065841802911</c:v>
                </c:pt>
                <c:pt idx="4">
                  <c:v>0.55984259525866198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812-407F-B726-1E555DC1EE1D}"/>
            </c:ext>
          </c:extLst>
        </c:ser>
        <c:ser>
          <c:idx val="5"/>
          <c:order val="5"/>
          <c:tx>
            <c:strRef>
              <c:f>'Ratios (MCLAREN)'!$J$42</c:f>
              <c:strCache>
                <c:ptCount val="1"/>
                <c:pt idx="0">
                  <c:v>Cash Ratio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1.232451050775045E-2"/>
                  <c:y val="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B812-407F-B726-1E555DC1EE1D}"/>
                </c:ext>
              </c:extLst>
            </c:dLbl>
            <c:dLbl>
              <c:idx val="1"/>
              <c:layout>
                <c:manualLayout>
                  <c:x val="-9.5857303949169973E-3"/>
                  <c:y val="2.1006179455625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B812-407F-B726-1E555DC1EE1D}"/>
                </c:ext>
              </c:extLst>
            </c:dLbl>
            <c:dLbl>
              <c:idx val="2"/>
              <c:layout>
                <c:manualLayout>
                  <c:x val="-1.0042077740116923E-16"/>
                  <c:y val="-1.470432561893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B812-407F-B726-1E555DC1EE1D}"/>
                </c:ext>
              </c:extLst>
            </c:dLbl>
            <c:dLbl>
              <c:idx val="3"/>
              <c:layout>
                <c:manualLayout>
                  <c:x val="-4.1081701692501412E-3"/>
                  <c:y val="1.05030897278128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B812-407F-B726-1E555DC1EE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xVal>
          <c:yVal>
            <c:numRef>
              <c:f>'Ratios (MCLAREN)'!$K$42:$O$42</c:f>
              <c:numCache>
                <c:formatCode>0.00</c:formatCode>
                <c:ptCount val="5"/>
                <c:pt idx="0">
                  <c:v>0.14408958345125072</c:v>
                </c:pt>
                <c:pt idx="1">
                  <c:v>7.5056779263852333E-2</c:v>
                </c:pt>
                <c:pt idx="2">
                  <c:v>0.14428683900885936</c:v>
                </c:pt>
                <c:pt idx="3">
                  <c:v>0.22592047128129603</c:v>
                </c:pt>
                <c:pt idx="4">
                  <c:v>0.24335427742870952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B812-407F-B726-1E555DC1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5205840"/>
        <c:axId val="685195672"/>
      </c:scatterChart>
      <c:valAx>
        <c:axId val="685205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195672"/>
        <c:crosses val="autoZero"/>
        <c:crossBetween val="midCat"/>
        <c:majorUnit val="1"/>
        <c:minorUnit val="1"/>
      </c:valAx>
      <c:valAx>
        <c:axId val="685195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RATIO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205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>
                <a:solidFill>
                  <a:sysClr val="windowText" lastClr="000000"/>
                </a:solidFill>
              </a:rPr>
              <a:t>aston martin lagonda vs mclaren - gearing ratio % (2018 - 2022)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'Ratios (MCLAREN)'!$C$50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'Ratios (MCLAREN)'!$D$6:$H$6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'Ratios (MCLAREN)'!$D$50:$H$50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CA80-41CF-AB7E-A26E072576BA}"/>
            </c:ext>
          </c:extLst>
        </c:ser>
        <c:ser>
          <c:idx val="1"/>
          <c:order val="1"/>
          <c:tx>
            <c:strRef>
              <c:f>'Ratios (MCLAREN)'!$J$50</c:f>
              <c:strCache>
                <c:ptCount val="1"/>
                <c:pt idx="0">
                  <c:v>Gearing Ratio %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'Ratios (MCLAREN)'!$K$6:$O$6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'Ratios (MCLAREN)'!$K$50:$O$50</c:f>
              <c:numCache>
                <c:formatCode>0.00</c:formatCode>
                <c:ptCount val="5"/>
                <c:pt idx="0">
                  <c:v>71.105967997375956</c:v>
                </c:pt>
                <c:pt idx="1">
                  <c:v>70.486933026646284</c:v>
                </c:pt>
                <c:pt idx="2">
                  <c:v>60.066298935727616</c:v>
                </c:pt>
                <c:pt idx="3">
                  <c:v>44.976843605272535</c:v>
                </c:pt>
                <c:pt idx="4">
                  <c:v>57.662152530292232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80-41CF-AB7E-A26E07257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0824208"/>
        <c:axId val="760824536"/>
      </c:barChart>
      <c:catAx>
        <c:axId val="760824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824536"/>
        <c:crosses val="autoZero"/>
        <c:auto val="1"/>
        <c:lblAlgn val="ctr"/>
        <c:lblOffset val="100"/>
        <c:noMultiLvlLbl val="0"/>
      </c:catAx>
      <c:valAx>
        <c:axId val="76082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gearing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ratio %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824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chart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chart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chart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2"/>
  <sheetViews>
    <sheetView workbookViewId="0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8"/>
  <sheetViews>
    <sheetView workbookViewId="0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Chart3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Chart4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Chart5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>
  <sheetPr codeName="Chart6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>
  <sheetPr codeName="Chart7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>
  <sheetPr codeName="Chart9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12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>
  <sheetPr codeName="Chart10"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chartsheets/sheet14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495023</xdr:colOff>
      <xdr:row>0</xdr:row>
      <xdr:rowOff>8005</xdr:rowOff>
    </xdr:from>
    <xdr:to>
      <xdr:col>27</xdr:col>
      <xdr:colOff>7748</xdr:colOff>
      <xdr:row>18</xdr:row>
      <xdr:rowOff>165099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82498" y="8005"/>
          <a:ext cx="5608725" cy="3595619"/>
        </a:xfrm>
        <a:prstGeom prst="rect">
          <a:avLst/>
        </a:prstGeom>
      </xdr:spPr>
    </xdr:pic>
    <xdr:clientData/>
  </xdr:twoCellAnchor>
  <xdr:twoCellAnchor editAs="oneCell">
    <xdr:from>
      <xdr:col>9</xdr:col>
      <xdr:colOff>593172</xdr:colOff>
      <xdr:row>0</xdr:row>
      <xdr:rowOff>65707</xdr:rowOff>
    </xdr:from>
    <xdr:to>
      <xdr:col>17</xdr:col>
      <xdr:colOff>387349</xdr:colOff>
      <xdr:row>19</xdr:row>
      <xdr:rowOff>167610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32397" y="65707"/>
          <a:ext cx="4842427" cy="3730928"/>
        </a:xfrm>
        <a:prstGeom prst="rect">
          <a:avLst/>
        </a:prstGeom>
      </xdr:spPr>
    </xdr:pic>
    <xdr:clientData/>
  </xdr:twoCellAnchor>
  <xdr:twoCellAnchor editAs="oneCell">
    <xdr:from>
      <xdr:col>14</xdr:col>
      <xdr:colOff>252412</xdr:colOff>
      <xdr:row>42</xdr:row>
      <xdr:rowOff>8689</xdr:rowOff>
    </xdr:from>
    <xdr:to>
      <xdr:col>23</xdr:col>
      <xdr:colOff>204203</xdr:colOff>
      <xdr:row>62</xdr:row>
      <xdr:rowOff>163912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72962" y="7990639"/>
          <a:ext cx="5438191" cy="4041423"/>
        </a:xfrm>
        <a:prstGeom prst="rect">
          <a:avLst/>
        </a:prstGeom>
      </xdr:spPr>
    </xdr:pic>
    <xdr:clientData/>
  </xdr:twoCellAnchor>
  <xdr:twoCellAnchor editAs="oneCell">
    <xdr:from>
      <xdr:col>9</xdr:col>
      <xdr:colOff>596309</xdr:colOff>
      <xdr:row>20</xdr:row>
      <xdr:rowOff>125634</xdr:rowOff>
    </xdr:from>
    <xdr:to>
      <xdr:col>19</xdr:col>
      <xdr:colOff>114967</xdr:colOff>
      <xdr:row>38</xdr:row>
      <xdr:rowOff>188335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819684" y="3768947"/>
          <a:ext cx="5868658" cy="3388513"/>
        </a:xfrm>
        <a:prstGeom prst="rect">
          <a:avLst/>
        </a:prstGeom>
      </xdr:spPr>
    </xdr:pic>
    <xdr:clientData/>
  </xdr:twoCellAnchor>
  <xdr:twoCellAnchor editAs="oneCell">
    <xdr:from>
      <xdr:col>19</xdr:col>
      <xdr:colOff>320732</xdr:colOff>
      <xdr:row>20</xdr:row>
      <xdr:rowOff>155575</xdr:rowOff>
    </xdr:from>
    <xdr:to>
      <xdr:col>28</xdr:col>
      <xdr:colOff>161196</xdr:colOff>
      <xdr:row>37</xdr:row>
      <xdr:rowOff>198438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27407" y="3975100"/>
          <a:ext cx="5326864" cy="33194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323572</xdr:colOff>
      <xdr:row>26</xdr:row>
      <xdr:rowOff>133697</xdr:rowOff>
    </xdr:from>
    <xdr:to>
      <xdr:col>45</xdr:col>
      <xdr:colOff>445897</xdr:colOff>
      <xdr:row>45</xdr:row>
      <xdr:rowOff>9337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93690" y="4982109"/>
          <a:ext cx="5635619" cy="3536228"/>
        </a:xfrm>
        <a:prstGeom prst="rect">
          <a:avLst/>
        </a:prstGeom>
      </xdr:spPr>
    </xdr:pic>
    <xdr:clientData/>
  </xdr:twoCellAnchor>
  <xdr:twoCellAnchor editAs="oneCell">
    <xdr:from>
      <xdr:col>35</xdr:col>
      <xdr:colOff>577974</xdr:colOff>
      <xdr:row>2</xdr:row>
      <xdr:rowOff>14942</xdr:rowOff>
    </xdr:from>
    <xdr:to>
      <xdr:col>44</xdr:col>
      <xdr:colOff>6507</xdr:colOff>
      <xdr:row>21</xdr:row>
      <xdr:rowOff>102730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335503" y="388471"/>
          <a:ext cx="4941827" cy="3662465"/>
        </a:xfrm>
        <a:prstGeom prst="rect">
          <a:avLst/>
        </a:prstGeom>
      </xdr:spPr>
    </xdr:pic>
    <xdr:clientData/>
  </xdr:twoCellAnchor>
  <xdr:twoCellAnchor editAs="oneCell">
    <xdr:from>
      <xdr:col>44</xdr:col>
      <xdr:colOff>530443</xdr:colOff>
      <xdr:row>2</xdr:row>
      <xdr:rowOff>17923</xdr:rowOff>
    </xdr:from>
    <xdr:to>
      <xdr:col>53</xdr:col>
      <xdr:colOff>463185</xdr:colOff>
      <xdr:row>23</xdr:row>
      <xdr:rowOff>24398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801267" y="391452"/>
          <a:ext cx="5446035" cy="3965888"/>
        </a:xfrm>
        <a:prstGeom prst="rect">
          <a:avLst/>
        </a:prstGeom>
      </xdr:spPr>
    </xdr:pic>
    <xdr:clientData/>
  </xdr:twoCellAnchor>
  <xdr:twoCellAnchor editAs="oneCell">
    <xdr:from>
      <xdr:col>38</xdr:col>
      <xdr:colOff>544430</xdr:colOff>
      <xdr:row>15</xdr:row>
      <xdr:rowOff>118578</xdr:rowOff>
    </xdr:from>
    <xdr:to>
      <xdr:col>48</xdr:col>
      <xdr:colOff>304224</xdr:colOff>
      <xdr:row>33</xdr:row>
      <xdr:rowOff>184083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139724" y="2912578"/>
          <a:ext cx="5885675" cy="3468357"/>
        </a:xfrm>
        <a:prstGeom prst="rect">
          <a:avLst/>
        </a:prstGeom>
      </xdr:spPr>
    </xdr:pic>
    <xdr:clientData/>
  </xdr:twoCellAnchor>
  <xdr:twoCellAnchor editAs="oneCell">
    <xdr:from>
      <xdr:col>45</xdr:col>
      <xdr:colOff>244272</xdr:colOff>
      <xdr:row>30</xdr:row>
      <xdr:rowOff>31533</xdr:rowOff>
    </xdr:from>
    <xdr:to>
      <xdr:col>54</xdr:col>
      <xdr:colOff>179279</xdr:colOff>
      <xdr:row>47</xdr:row>
      <xdr:rowOff>14259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127684" y="5627004"/>
          <a:ext cx="5448302" cy="325857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/>
  </sheetPr>
  <dimension ref="A1:AC215"/>
  <sheetViews>
    <sheetView tabSelected="1" zoomScaleNormal="100" workbookViewId="0">
      <selection activeCell="H72" sqref="H72"/>
    </sheetView>
  </sheetViews>
  <sheetFormatPr defaultRowHeight="15" x14ac:dyDescent="0.25"/>
  <cols>
    <col min="1" max="1" width="9.140625" style="9"/>
    <col min="2" max="2" width="3.140625" style="9" bestFit="1" customWidth="1"/>
    <col min="3" max="3" width="30.5703125" bestFit="1" customWidth="1"/>
    <col min="4" max="4" width="15.5703125" style="2" customWidth="1"/>
    <col min="5" max="8" width="15.5703125" customWidth="1"/>
    <col min="9" max="9" width="14.85546875" style="9" customWidth="1"/>
    <col min="10" max="11" width="9.140625" style="9"/>
    <col min="12" max="12" width="12.140625" customWidth="1"/>
    <col min="13" max="13" width="8.7109375" customWidth="1"/>
  </cols>
  <sheetData>
    <row r="1" spans="1:29" x14ac:dyDescent="0.25">
      <c r="A1" s="15" t="s">
        <v>1</v>
      </c>
      <c r="C1" s="9"/>
      <c r="D1" s="9"/>
      <c r="E1" s="9"/>
      <c r="F1" s="9"/>
      <c r="G1" s="9"/>
      <c r="H1" s="9"/>
    </row>
    <row r="2" spans="1:29" x14ac:dyDescent="0.25">
      <c r="A2" s="15" t="s">
        <v>0</v>
      </c>
      <c r="C2" s="9"/>
      <c r="D2" s="9"/>
      <c r="E2" s="9"/>
      <c r="F2" s="9"/>
      <c r="G2" s="9"/>
      <c r="H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x14ac:dyDescent="0.25">
      <c r="A3" s="15" t="s">
        <v>16</v>
      </c>
      <c r="C3" s="9"/>
      <c r="D3" s="9"/>
      <c r="E3" s="9"/>
      <c r="F3" s="9"/>
      <c r="G3" s="9"/>
      <c r="H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5.75" thickBot="1" x14ac:dyDescent="0.3">
      <c r="C4" s="9"/>
      <c r="D4" s="9"/>
      <c r="E4" s="9"/>
      <c r="F4" s="9"/>
      <c r="G4" s="9"/>
      <c r="H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5.75" thickBot="1" x14ac:dyDescent="0.3">
      <c r="C5" s="9"/>
      <c r="D5" s="47" t="s">
        <v>59</v>
      </c>
      <c r="E5" s="48"/>
      <c r="F5" s="48"/>
      <c r="G5" s="48"/>
      <c r="H5" s="4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x14ac:dyDescent="0.25">
      <c r="C6" s="9"/>
      <c r="D6" s="45">
        <v>2018</v>
      </c>
      <c r="E6" s="31">
        <v>2019</v>
      </c>
      <c r="F6" s="32">
        <v>2020</v>
      </c>
      <c r="G6" s="32">
        <v>2021</v>
      </c>
      <c r="H6" s="46">
        <v>2022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5.75" thickBot="1" x14ac:dyDescent="0.3">
      <c r="C7" s="9"/>
      <c r="D7" s="42" t="s">
        <v>15</v>
      </c>
      <c r="E7" s="43" t="s">
        <v>15</v>
      </c>
      <c r="F7" s="43" t="s">
        <v>15</v>
      </c>
      <c r="G7" s="43" t="s">
        <v>15</v>
      </c>
      <c r="H7" s="44" t="s">
        <v>15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25">
      <c r="C8" s="18" t="s">
        <v>14</v>
      </c>
      <c r="D8" s="26">
        <v>1096.5</v>
      </c>
      <c r="E8" s="26">
        <v>997.3</v>
      </c>
      <c r="F8" s="26">
        <v>611.79999999999995</v>
      </c>
      <c r="G8" s="26">
        <v>1095.3</v>
      </c>
      <c r="H8" s="27">
        <v>1381.5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x14ac:dyDescent="0.25">
      <c r="C9" s="21" t="s">
        <v>24</v>
      </c>
      <c r="D9" s="5">
        <v>660.7</v>
      </c>
      <c r="E9" s="5">
        <v>642.70000000000005</v>
      </c>
      <c r="F9" s="5">
        <v>500.7</v>
      </c>
      <c r="G9" s="5">
        <v>751.6</v>
      </c>
      <c r="H9" s="28">
        <v>930.8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14.1" customHeight="1" x14ac:dyDescent="0.25">
      <c r="C10" s="21" t="s">
        <v>25</v>
      </c>
      <c r="D10" s="5">
        <v>435.8</v>
      </c>
      <c r="E10" s="5">
        <v>354.6</v>
      </c>
      <c r="F10" s="5">
        <v>111.1</v>
      </c>
      <c r="G10" s="5">
        <v>343.7</v>
      </c>
      <c r="H10" s="28">
        <v>450.7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x14ac:dyDescent="0.25">
      <c r="C11" s="21" t="s">
        <v>26</v>
      </c>
      <c r="D11" s="5">
        <v>72.8</v>
      </c>
      <c r="E11" s="5">
        <v>-36.700000000000003</v>
      </c>
      <c r="F11" s="5">
        <v>-322.89999999999998</v>
      </c>
      <c r="G11" s="5">
        <v>-76.5</v>
      </c>
      <c r="H11" s="28">
        <v>-141.80000000000001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x14ac:dyDescent="0.25">
      <c r="C12" s="21" t="s">
        <v>27</v>
      </c>
      <c r="D12" s="5">
        <v>-57.1</v>
      </c>
      <c r="E12" s="5">
        <v>-104.4</v>
      </c>
      <c r="F12" s="5">
        <v>-410.5</v>
      </c>
      <c r="G12" s="5">
        <v>-189.3</v>
      </c>
      <c r="H12" s="28">
        <v>-527.70000000000005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x14ac:dyDescent="0.25">
      <c r="C13" s="21" t="s">
        <v>28</v>
      </c>
      <c r="D13" s="5">
        <v>2061.1999999999998</v>
      </c>
      <c r="E13" s="5">
        <v>2231.1</v>
      </c>
      <c r="F13" s="5">
        <v>2794.8</v>
      </c>
      <c r="G13" s="5">
        <v>2842.5</v>
      </c>
      <c r="H13" s="28">
        <v>3104.3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x14ac:dyDescent="0.25">
      <c r="C14" s="21" t="s">
        <v>29</v>
      </c>
      <c r="D14" s="5">
        <v>449.4</v>
      </c>
      <c r="E14" s="5">
        <v>358.9</v>
      </c>
      <c r="F14" s="5">
        <v>804.1</v>
      </c>
      <c r="G14" s="5">
        <v>660.4</v>
      </c>
      <c r="H14" s="28">
        <v>772.5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x14ac:dyDescent="0.25">
      <c r="C15" s="21" t="s">
        <v>30</v>
      </c>
      <c r="D15" s="5">
        <v>551.6</v>
      </c>
      <c r="E15" s="5">
        <v>567.5</v>
      </c>
      <c r="F15" s="5">
        <v>889.5</v>
      </c>
      <c r="G15" s="5">
        <v>867.9</v>
      </c>
      <c r="H15" s="28">
        <v>1125.4000000000001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x14ac:dyDescent="0.25">
      <c r="C16" s="21" t="s">
        <v>31</v>
      </c>
      <c r="D16" s="5">
        <v>815.4</v>
      </c>
      <c r="E16" s="5">
        <v>858.2</v>
      </c>
      <c r="F16" s="5">
        <v>808.3</v>
      </c>
      <c r="G16" s="5">
        <v>905.2</v>
      </c>
      <c r="H16" s="28">
        <v>1041.9000000000001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x14ac:dyDescent="0.25">
      <c r="C17" s="21" t="s">
        <v>32</v>
      </c>
      <c r="D17" s="5">
        <v>796.4</v>
      </c>
      <c r="E17" s="5">
        <v>1014</v>
      </c>
      <c r="F17" s="5">
        <v>1182.4000000000001</v>
      </c>
      <c r="G17" s="5">
        <v>1276.9000000000001</v>
      </c>
      <c r="H17" s="28">
        <v>1289.9000000000001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x14ac:dyDescent="0.25">
      <c r="C18" s="21" t="s">
        <v>33</v>
      </c>
      <c r="D18" s="5">
        <v>1611.8</v>
      </c>
      <c r="E18" s="5">
        <v>1872.2</v>
      </c>
      <c r="F18" s="5">
        <v>1990.7</v>
      </c>
      <c r="G18" s="5">
        <v>2182.1</v>
      </c>
      <c r="H18" s="28">
        <v>2331.8000000000002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x14ac:dyDescent="0.25">
      <c r="C19" s="21" t="s">
        <v>34</v>
      </c>
      <c r="D19" s="5">
        <v>449.4</v>
      </c>
      <c r="E19" s="5">
        <v>358.9</v>
      </c>
      <c r="F19" s="5">
        <v>804.1</v>
      </c>
      <c r="G19" s="5">
        <v>660.4</v>
      </c>
      <c r="H19" s="28">
        <v>772.5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x14ac:dyDescent="0.25">
      <c r="A20" s="10"/>
      <c r="C20" s="21" t="s">
        <v>35</v>
      </c>
      <c r="D20" s="5">
        <v>796.4</v>
      </c>
      <c r="E20" s="5">
        <v>1014</v>
      </c>
      <c r="F20" s="5">
        <v>1182.4000000000001</v>
      </c>
      <c r="G20" s="5">
        <v>1276.9000000000001</v>
      </c>
      <c r="H20" s="28">
        <v>1289.9000000000001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x14ac:dyDescent="0.25">
      <c r="C21" s="21" t="s">
        <v>36</v>
      </c>
      <c r="D21" s="5">
        <v>165.3</v>
      </c>
      <c r="E21" s="5">
        <v>200.7</v>
      </c>
      <c r="F21" s="5">
        <v>207.4</v>
      </c>
      <c r="G21" s="5">
        <v>196.8</v>
      </c>
      <c r="H21" s="28">
        <v>286.2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x14ac:dyDescent="0.25">
      <c r="C22" s="21" t="s">
        <v>37</v>
      </c>
      <c r="D22" s="5">
        <f>44.6+1.1+32+5.6</f>
        <v>83.3</v>
      </c>
      <c r="E22" s="5">
        <f>7.5+4.6+1.1+8.8+55.3</f>
        <v>77.3</v>
      </c>
      <c r="F22" s="5">
        <f>4.1+0.7+1.9+98.4</f>
        <v>105.10000000000001</v>
      </c>
      <c r="G22" s="5">
        <f>3.9+1.3+4.8+151.3</f>
        <v>161.30000000000001</v>
      </c>
      <c r="H22" s="28">
        <f>4.5+1.4+8+166</f>
        <v>179.9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x14ac:dyDescent="0.25">
      <c r="C23" s="21" t="s">
        <v>38</v>
      </c>
      <c r="D23" s="5">
        <v>144.6</v>
      </c>
      <c r="E23" s="5">
        <v>107.9</v>
      </c>
      <c r="F23" s="5">
        <v>489.4</v>
      </c>
      <c r="G23" s="5">
        <v>418.9</v>
      </c>
      <c r="H23" s="28">
        <v>583.29999999999995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x14ac:dyDescent="0.25">
      <c r="C24" s="21" t="s">
        <v>39</v>
      </c>
      <c r="D24" s="5">
        <f>D8/365</f>
        <v>3.004109589041096</v>
      </c>
      <c r="E24" s="5">
        <f>E8/365</f>
        <v>2.7323287671232874</v>
      </c>
      <c r="F24" s="5">
        <f>F8/365</f>
        <v>1.6761643835616438</v>
      </c>
      <c r="G24" s="5">
        <f>G8/365</f>
        <v>3.0008219178082189</v>
      </c>
      <c r="H24" s="28">
        <f>H8/365</f>
        <v>3.7849315068493152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x14ac:dyDescent="0.25">
      <c r="C25" s="21" t="s">
        <v>40</v>
      </c>
      <c r="D25" s="5">
        <f>D9/365</f>
        <v>1.8101369863013699</v>
      </c>
      <c r="E25" s="5">
        <f>E9/365</f>
        <v>1.7608219178082194</v>
      </c>
      <c r="F25" s="5">
        <f>F9/365</f>
        <v>1.3717808219178083</v>
      </c>
      <c r="G25" s="5">
        <f t="shared" ref="G25" si="0">G9/365</f>
        <v>2.0591780821917807</v>
      </c>
      <c r="H25" s="28">
        <f>H9/365</f>
        <v>2.5501369863013696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x14ac:dyDescent="0.25">
      <c r="C26" s="21" t="s">
        <v>41</v>
      </c>
      <c r="D26" s="5">
        <f>1.8+241.6</f>
        <v>243.4</v>
      </c>
      <c r="E26" s="5">
        <f>1.8+249.7</f>
        <v>251.5</v>
      </c>
      <c r="F26" s="5">
        <f>0.9+177.9</f>
        <v>178.8</v>
      </c>
      <c r="G26" s="5">
        <f>2.1+243.4</f>
        <v>245.5</v>
      </c>
      <c r="H26" s="28">
        <f>6.3+245.7</f>
        <v>252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x14ac:dyDescent="0.25">
      <c r="C27" s="21" t="s">
        <v>42</v>
      </c>
      <c r="D27" s="5">
        <f>12.2+696.1</f>
        <v>708.30000000000007</v>
      </c>
      <c r="E27" s="5">
        <f>9.4+702.1</f>
        <v>711.5</v>
      </c>
      <c r="F27" s="5">
        <f>578.9+7.5</f>
        <v>586.4</v>
      </c>
      <c r="G27" s="5">
        <f>721+9.8</f>
        <v>730.8</v>
      </c>
      <c r="H27" s="28">
        <f>876.3+9.1</f>
        <v>885.4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15.75" thickBot="1" x14ac:dyDescent="0.3">
      <c r="C28" s="23" t="s">
        <v>43</v>
      </c>
      <c r="D28" s="29">
        <v>202.1</v>
      </c>
      <c r="E28" s="29">
        <v>228</v>
      </c>
      <c r="F28" s="29">
        <v>77.2</v>
      </c>
      <c r="G28" s="29">
        <v>115.5</v>
      </c>
      <c r="H28" s="30">
        <v>424.7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s="9" customFormat="1" x14ac:dyDescent="0.25">
      <c r="D29" s="11"/>
      <c r="E29" s="11"/>
      <c r="F29" s="11"/>
      <c r="G29" s="11"/>
      <c r="H29" s="11"/>
    </row>
    <row r="30" spans="1:29" s="9" customFormat="1" ht="15.75" thickBot="1" x14ac:dyDescent="0.3">
      <c r="D30" s="12"/>
      <c r="E30" s="12"/>
      <c r="F30" s="12"/>
      <c r="G30" s="12"/>
      <c r="H30" s="12"/>
    </row>
    <row r="31" spans="1:29" ht="15.75" thickBot="1" x14ac:dyDescent="0.3">
      <c r="C31" s="1" t="s">
        <v>2</v>
      </c>
      <c r="D31" s="38">
        <v>2018</v>
      </c>
      <c r="E31" s="39">
        <v>2019</v>
      </c>
      <c r="F31" s="40">
        <v>2020</v>
      </c>
      <c r="G31" s="40">
        <v>2021</v>
      </c>
      <c r="H31" s="41">
        <v>2022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x14ac:dyDescent="0.25">
      <c r="B32" s="9">
        <v>1</v>
      </c>
      <c r="C32" s="18" t="s">
        <v>44</v>
      </c>
      <c r="D32" s="19">
        <f>(D10/D8)*100</f>
        <v>39.74464204286366</v>
      </c>
      <c r="E32" s="19">
        <f>(E10/E8)*100</f>
        <v>35.556001203248776</v>
      </c>
      <c r="F32" s="19">
        <f>(F10/F8)*100</f>
        <v>18.159529257927428</v>
      </c>
      <c r="G32" s="19">
        <f>(G10/G8)*100</f>
        <v>31.379530722176575</v>
      </c>
      <c r="H32" s="20">
        <f>(H10/H8)*100</f>
        <v>32.623959464350342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x14ac:dyDescent="0.25">
      <c r="B33" s="9">
        <v>2</v>
      </c>
      <c r="C33" s="21" t="s">
        <v>45</v>
      </c>
      <c r="D33" s="4">
        <f>(D11/D$8)*100</f>
        <v>6.6393068855449151</v>
      </c>
      <c r="E33" s="4">
        <f>(E11/E$8)*100</f>
        <v>-3.6799358267321773</v>
      </c>
      <c r="F33" s="4">
        <f>(F11/F$8)*100</f>
        <v>-52.778685845047399</v>
      </c>
      <c r="G33" s="4">
        <f t="shared" ref="F33:H34" si="1">(G11/G$8)*100</f>
        <v>-6.9843878389482335</v>
      </c>
      <c r="H33" s="22">
        <f t="shared" si="1"/>
        <v>-10.264205573651829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x14ac:dyDescent="0.25">
      <c r="B34" s="9">
        <v>3</v>
      </c>
      <c r="C34" s="21" t="s">
        <v>46</v>
      </c>
      <c r="D34" s="4">
        <f>(D12/D$8)*100</f>
        <v>-5.2074783401732789</v>
      </c>
      <c r="E34" s="4">
        <f>(E12/E$8)*100</f>
        <v>-10.468264313646849</v>
      </c>
      <c r="F34" s="4">
        <f t="shared" si="1"/>
        <v>-67.097090552468131</v>
      </c>
      <c r="G34" s="4">
        <f>(G12/G$8)*100</f>
        <v>-17.282936181867985</v>
      </c>
      <c r="H34" s="22">
        <f>(H12/H$8)*100</f>
        <v>-38.197611292073837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x14ac:dyDescent="0.25">
      <c r="B35" s="9">
        <v>4</v>
      </c>
      <c r="C35" s="21" t="s">
        <v>47</v>
      </c>
      <c r="D35" s="4">
        <f>(D12/D13)*100</f>
        <v>-2.7702309334368334</v>
      </c>
      <c r="E35" s="4">
        <f>(E12/E13)*100</f>
        <v>-4.6793061718434856</v>
      </c>
      <c r="F35" s="4">
        <f>(F12/F13)*100</f>
        <v>-14.687991985115211</v>
      </c>
      <c r="G35" s="4">
        <f>(G12/G13)*100</f>
        <v>-6.6596306068601594</v>
      </c>
      <c r="H35" s="22">
        <f>(H12/H13)*100</f>
        <v>-16.999001385175401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15.75" thickBot="1" x14ac:dyDescent="0.3">
      <c r="B36" s="9">
        <v>5</v>
      </c>
      <c r="C36" s="23" t="s">
        <v>3</v>
      </c>
      <c r="D36" s="24">
        <f>(D$12/D14)*100</f>
        <v>-12.705829995549623</v>
      </c>
      <c r="E36" s="24">
        <f>(E$12/E14)*100</f>
        <v>-29.088882697130124</v>
      </c>
      <c r="F36" s="24">
        <f t="shared" ref="F36:H36" si="2">(F$12/F14)*100</f>
        <v>-51.050864320358158</v>
      </c>
      <c r="G36" s="24">
        <f t="shared" si="2"/>
        <v>-28.664445790430044</v>
      </c>
      <c r="H36" s="25">
        <f t="shared" si="2"/>
        <v>-68.3106796116505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s="9" customFormat="1" x14ac:dyDescent="0.25">
      <c r="A37" s="16"/>
      <c r="B37" s="16"/>
      <c r="C37" s="17"/>
      <c r="D37" s="13"/>
      <c r="E37" s="13"/>
      <c r="F37" s="11"/>
      <c r="G37" s="13"/>
      <c r="H37" s="13"/>
    </row>
    <row r="38" spans="1:29" s="9" customFormat="1" ht="15.75" thickBot="1" x14ac:dyDescent="0.3">
      <c r="D38" s="12"/>
      <c r="E38" s="12"/>
      <c r="F38" s="12"/>
      <c r="G38" s="12"/>
      <c r="H38" s="12"/>
    </row>
    <row r="39" spans="1:29" s="9" customFormat="1" ht="15.75" thickBot="1" x14ac:dyDescent="0.3">
      <c r="C39" s="14" t="s">
        <v>4</v>
      </c>
      <c r="D39" s="35">
        <v>2018</v>
      </c>
      <c r="E39" s="36">
        <v>2019</v>
      </c>
      <c r="F39" s="36">
        <v>2020</v>
      </c>
      <c r="G39" s="36">
        <v>2021</v>
      </c>
      <c r="H39" s="37">
        <v>2022</v>
      </c>
    </row>
    <row r="40" spans="1:29" x14ac:dyDescent="0.25">
      <c r="B40" s="9">
        <v>6</v>
      </c>
      <c r="C40" s="18" t="s">
        <v>5</v>
      </c>
      <c r="D40" s="19">
        <f>D15/D16</f>
        <v>0.67647780230561694</v>
      </c>
      <c r="E40" s="19">
        <f>E15/E16</f>
        <v>0.66126776975064083</v>
      </c>
      <c r="F40" s="19">
        <f>F15/F16</f>
        <v>1.1004577508350861</v>
      </c>
      <c r="G40" s="19">
        <f>G15/G16</f>
        <v>0.95879363676535567</v>
      </c>
      <c r="H40" s="20">
        <f>H15/H16</f>
        <v>1.0801420481812074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x14ac:dyDescent="0.25">
      <c r="B41" s="9">
        <v>7</v>
      </c>
      <c r="C41" s="21" t="s">
        <v>6</v>
      </c>
      <c r="D41" s="4">
        <f>(D15-D21)/D16</f>
        <v>0.47375521216580824</v>
      </c>
      <c r="E41" s="4">
        <f>(E15-E21)/E16</f>
        <v>0.42740619902120719</v>
      </c>
      <c r="F41" s="4">
        <f t="shared" ref="F41:G41" si="3">(F15-F21)/F16</f>
        <v>0.84386985030310535</v>
      </c>
      <c r="G41" s="4">
        <f t="shared" si="3"/>
        <v>0.74138311975254079</v>
      </c>
      <c r="H41" s="22">
        <f>(H15-H21)/H16</f>
        <v>0.80545157884633845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15.75" thickBot="1" x14ac:dyDescent="0.3">
      <c r="B42" s="9">
        <v>8</v>
      </c>
      <c r="C42" s="23" t="s">
        <v>7</v>
      </c>
      <c r="D42" s="24">
        <f>D23/D16</f>
        <v>0.17733627667402502</v>
      </c>
      <c r="E42" s="24">
        <f>E23/E16</f>
        <v>0.12572826846888838</v>
      </c>
      <c r="F42" s="24">
        <f>F23/F16</f>
        <v>0.60546826673264875</v>
      </c>
      <c r="G42" s="24">
        <f>G23/G16</f>
        <v>0.46277065841802911</v>
      </c>
      <c r="H42" s="25">
        <f>H23/H16</f>
        <v>0.55984259525866198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s="16" customFormat="1" ht="15.75" thickBot="1" x14ac:dyDescent="0.3">
      <c r="D43" s="12"/>
      <c r="E43" s="12"/>
      <c r="F43" s="12"/>
      <c r="G43" s="12"/>
      <c r="H43" s="12"/>
    </row>
    <row r="44" spans="1:29" ht="15.75" thickBot="1" x14ac:dyDescent="0.3">
      <c r="C44" s="1" t="s">
        <v>13</v>
      </c>
      <c r="D44" s="38">
        <v>2018</v>
      </c>
      <c r="E44" s="39">
        <v>2019</v>
      </c>
      <c r="F44" s="40">
        <v>2020</v>
      </c>
      <c r="G44" s="40">
        <v>2021</v>
      </c>
      <c r="H44" s="41">
        <v>2022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x14ac:dyDescent="0.25">
      <c r="B45" s="9">
        <v>9</v>
      </c>
      <c r="C45" s="18" t="s">
        <v>8</v>
      </c>
      <c r="D45" s="19">
        <f>D26/D24</f>
        <v>81.022343821249422</v>
      </c>
      <c r="E45" s="19">
        <f>E26/E24</f>
        <v>92.046024265516905</v>
      </c>
      <c r="F45" s="19">
        <f>F26/F24</f>
        <v>106.67211507028442</v>
      </c>
      <c r="G45" s="19">
        <f>G26/G24</f>
        <v>81.810919382817502</v>
      </c>
      <c r="H45" s="20">
        <f>H26/H24</f>
        <v>66.579804560260584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x14ac:dyDescent="0.25">
      <c r="B46" s="9">
        <v>10</v>
      </c>
      <c r="C46" s="21" t="s">
        <v>9</v>
      </c>
      <c r="D46" s="4">
        <f>D9/((D21))</f>
        <v>3.9969751966122202</v>
      </c>
      <c r="E46" s="4">
        <f>E9/((E21+D21)/2)</f>
        <v>3.5120218579234974</v>
      </c>
      <c r="F46" s="4">
        <f>F9/((F21+E21)/2)</f>
        <v>2.4538103406027933</v>
      </c>
      <c r="G46" s="4">
        <f>G9/((G21+F21)/2)</f>
        <v>3.7189510143493316</v>
      </c>
      <c r="H46" s="22">
        <f>H9/((H21+G21)/2)</f>
        <v>3.8542443064182192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x14ac:dyDescent="0.25">
      <c r="B47" s="9">
        <v>11</v>
      </c>
      <c r="C47" s="21" t="s">
        <v>10</v>
      </c>
      <c r="D47" s="4">
        <f>D27/D25</f>
        <v>391.29635235356443</v>
      </c>
      <c r="E47" s="4">
        <f>E27/E25</f>
        <v>404.07266220631703</v>
      </c>
      <c r="F47" s="4">
        <f>F27/F25</f>
        <v>427.47353704813258</v>
      </c>
      <c r="G47" s="4">
        <f>G27/G25</f>
        <v>354.89888238424692</v>
      </c>
      <c r="H47" s="22">
        <f>H27/H25</f>
        <v>347.19703480876666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x14ac:dyDescent="0.25">
      <c r="B48" s="9">
        <v>12</v>
      </c>
      <c r="C48" s="21" t="s">
        <v>64</v>
      </c>
      <c r="D48" s="4">
        <f>((D21)/(D9))*365</f>
        <v>91.319055547146974</v>
      </c>
      <c r="E48" s="4">
        <f>(((E21+D21)/2)/(E9))*365</f>
        <v>103.92873813598879</v>
      </c>
      <c r="F48" s="4">
        <f>(((F21+E21)/2)/(F9))*365</f>
        <v>148.74825244657481</v>
      </c>
      <c r="G48" s="4">
        <f>(((G21+F21)/2)/(G9))*365</f>
        <v>98.145955295369887</v>
      </c>
      <c r="H48" s="22">
        <f>(((H21+G21)/2)/(H9))*365</f>
        <v>94.700795015040825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5.75" thickBot="1" x14ac:dyDescent="0.3">
      <c r="B49" s="9">
        <v>13</v>
      </c>
      <c r="C49" s="33" t="s">
        <v>63</v>
      </c>
      <c r="D49" s="24">
        <f>D48+D45-D47</f>
        <v>-218.95495298516803</v>
      </c>
      <c r="E49" s="24">
        <f>E48+E45-E47</f>
        <v>-208.09789980481133</v>
      </c>
      <c r="F49" s="24">
        <f t="shared" ref="F49:G49" si="4">F48+F45-F47</f>
        <v>-172.05316953127334</v>
      </c>
      <c r="G49" s="24">
        <f t="shared" si="4"/>
        <v>-174.94200770605954</v>
      </c>
      <c r="H49" s="25">
        <f>H48+H45-H47</f>
        <v>-185.91643523346525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s="16" customFormat="1" ht="15.75" thickBot="1" x14ac:dyDescent="0.3">
      <c r="D50" s="12"/>
      <c r="E50" s="12"/>
      <c r="F50" s="12"/>
      <c r="G50" s="12"/>
      <c r="H50" s="12"/>
    </row>
    <row r="51" spans="1:29" s="9" customFormat="1" ht="15.75" thickBot="1" x14ac:dyDescent="0.3">
      <c r="C51" s="14" t="s">
        <v>11</v>
      </c>
      <c r="D51" s="35">
        <v>2018</v>
      </c>
      <c r="E51" s="36">
        <v>2019</v>
      </c>
      <c r="F51" s="36">
        <v>2020</v>
      </c>
      <c r="G51" s="36">
        <v>2021</v>
      </c>
      <c r="H51" s="37">
        <v>2022</v>
      </c>
    </row>
    <row r="52" spans="1:29" x14ac:dyDescent="0.25">
      <c r="B52" s="9">
        <v>14</v>
      </c>
      <c r="C52" s="18" t="s">
        <v>48</v>
      </c>
      <c r="D52" s="19">
        <f>(D17/(D19+D17))*100</f>
        <v>63.926794027933852</v>
      </c>
      <c r="E52" s="19">
        <f>(E17/(E19+E17))*100</f>
        <v>73.858256245902837</v>
      </c>
      <c r="F52" s="19">
        <f t="shared" ref="F52:H52" si="5">(F17/(F19+F17))*100</f>
        <v>59.521771960734974</v>
      </c>
      <c r="G52" s="19">
        <f t="shared" si="5"/>
        <v>65.911319878180976</v>
      </c>
      <c r="H52" s="20">
        <f t="shared" si="5"/>
        <v>62.543638479441434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spans="1:29" x14ac:dyDescent="0.25">
      <c r="B53" s="9">
        <v>15</v>
      </c>
      <c r="C53" s="21" t="s">
        <v>49</v>
      </c>
      <c r="D53" s="4">
        <f>((D18)/(D19))*100</f>
        <v>358.65598575878954</v>
      </c>
      <c r="E53" s="4">
        <f>((E18)/(E19))*100</f>
        <v>521.64948453608247</v>
      </c>
      <c r="F53" s="4">
        <f t="shared" ref="F53:G53" si="6">((F18)/(F19))*100</f>
        <v>247.56871035940802</v>
      </c>
      <c r="G53" s="4">
        <f t="shared" si="6"/>
        <v>330.42095699576015</v>
      </c>
      <c r="H53" s="22">
        <f>((H18)/(H19))*100</f>
        <v>301.85113268608416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 spans="1:29" x14ac:dyDescent="0.25">
      <c r="B54" s="9">
        <v>16</v>
      </c>
      <c r="C54" s="21" t="s">
        <v>50</v>
      </c>
      <c r="D54" s="4">
        <f>(D20/D19)*100</f>
        <v>177.21406319537161</v>
      </c>
      <c r="E54" s="4">
        <f t="shared" ref="E54:G54" si="7">(E20/E19)*100</f>
        <v>282.52995263304547</v>
      </c>
      <c r="F54" s="4">
        <f>(F20/F19)*100</f>
        <v>147.04638726526554</v>
      </c>
      <c r="G54" s="4">
        <f t="shared" si="7"/>
        <v>193.35251362810419</v>
      </c>
      <c r="H54" s="22">
        <f>(H20/H19)*100</f>
        <v>166.97734627831719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 spans="1:29" ht="15.75" thickBot="1" x14ac:dyDescent="0.3">
      <c r="B55" s="9">
        <v>17</v>
      </c>
      <c r="C55" s="23" t="s">
        <v>51</v>
      </c>
      <c r="D55" s="24">
        <f>(D11/D22)*100</f>
        <v>87.394957983193279</v>
      </c>
      <c r="E55" s="24">
        <f t="shared" ref="E55:H55" si="8">(E11/E22)*100</f>
        <v>-47.477360931435967</v>
      </c>
      <c r="F55" s="24">
        <f>(F11/F22)*100</f>
        <v>-307.23120837297807</v>
      </c>
      <c r="G55" s="24">
        <f t="shared" si="8"/>
        <v>-47.427154370737753</v>
      </c>
      <c r="H55" s="25">
        <f t="shared" si="8"/>
        <v>-78.821567537520849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 spans="1:29" s="9" customFormat="1" x14ac:dyDescent="0.25">
      <c r="D56" s="11"/>
      <c r="E56" s="11"/>
      <c r="F56" s="11"/>
      <c r="G56" s="11"/>
      <c r="H56" s="11"/>
    </row>
    <row r="57" spans="1:29" s="16" customFormat="1" ht="15.75" thickBot="1" x14ac:dyDescent="0.3">
      <c r="D57" s="12"/>
      <c r="E57" s="12"/>
      <c r="F57" s="12"/>
      <c r="G57" s="12"/>
      <c r="H57" s="12"/>
    </row>
    <row r="58" spans="1:29" s="9" customFormat="1" ht="15.75" thickBot="1" x14ac:dyDescent="0.3">
      <c r="C58" s="14" t="s">
        <v>12</v>
      </c>
      <c r="D58" s="35">
        <v>2018</v>
      </c>
      <c r="E58" s="36">
        <v>2019</v>
      </c>
      <c r="F58" s="36">
        <v>2020</v>
      </c>
      <c r="G58" s="36">
        <v>2021</v>
      </c>
      <c r="H58" s="37">
        <v>2022</v>
      </c>
    </row>
    <row r="59" spans="1:29" x14ac:dyDescent="0.25">
      <c r="B59" s="9">
        <v>18</v>
      </c>
      <c r="C59" s="18" t="s">
        <v>23</v>
      </c>
      <c r="D59" s="8">
        <f>((D12-5.6)/D28)*100</f>
        <v>-31.024245423057895</v>
      </c>
      <c r="E59" s="8">
        <f>((E12-8.8)/E28)*100</f>
        <v>-49.649122807017541</v>
      </c>
      <c r="F59" s="8">
        <f>((F12-8.8)/F28)*100</f>
        <v>-543.13471502590676</v>
      </c>
      <c r="G59" s="8">
        <f>((G12-2.3)/G28)*100</f>
        <v>-165.88744588744589</v>
      </c>
      <c r="H59" s="34">
        <f>(((H12-0.9))/H28)*100</f>
        <v>-124.46432776077232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spans="1:29" x14ac:dyDescent="0.25">
      <c r="B60" s="9">
        <v>19</v>
      </c>
      <c r="C60" s="21" t="s">
        <v>52</v>
      </c>
      <c r="D60" s="6">
        <v>0</v>
      </c>
      <c r="E60" s="4">
        <v>0</v>
      </c>
      <c r="F60" s="4">
        <v>0</v>
      </c>
      <c r="G60" s="4">
        <v>0</v>
      </c>
      <c r="H60" s="22">
        <v>0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spans="1:29" x14ac:dyDescent="0.25">
      <c r="B61" s="9">
        <v>20</v>
      </c>
      <c r="C61" s="21" t="s">
        <v>61</v>
      </c>
      <c r="D61" s="6">
        <f>G73/D59</f>
        <v>-253.22807671451355</v>
      </c>
      <c r="E61" s="4">
        <f>G72/E59</f>
        <v>-67.2199187279152</v>
      </c>
      <c r="F61" s="4">
        <f>G71/F59</f>
        <v>-3.6988981636060099</v>
      </c>
      <c r="G61" s="4">
        <f>G70/G59</f>
        <v>-8.1561325678496868</v>
      </c>
      <c r="H61" s="22">
        <f>G69/H59</f>
        <v>-1.2377040295119182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x14ac:dyDescent="0.25">
      <c r="B62" s="9">
        <v>21</v>
      </c>
      <c r="C62" s="21" t="s">
        <v>53</v>
      </c>
      <c r="D62" s="4">
        <v>0</v>
      </c>
      <c r="E62" s="4">
        <v>0</v>
      </c>
      <c r="F62" s="4">
        <v>0</v>
      </c>
      <c r="G62" s="4">
        <v>0</v>
      </c>
      <c r="H62" s="22">
        <v>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5.75" thickBot="1" x14ac:dyDescent="0.3">
      <c r="A63" s="10"/>
      <c r="B63" s="9">
        <v>22</v>
      </c>
      <c r="C63" s="23" t="s">
        <v>62</v>
      </c>
      <c r="D63" s="24">
        <f>(D12/((D14))*100)</f>
        <v>-12.705829995549623</v>
      </c>
      <c r="E63" s="24">
        <f>(E12/((E14+D14)/2))*100</f>
        <v>-25.831993071879257</v>
      </c>
      <c r="F63" s="24">
        <f t="shared" ref="F63" si="9">(F12/((F14+E14)/2))*100</f>
        <v>-70.5932932072227</v>
      </c>
      <c r="G63" s="24">
        <f>(G12/((G14+F14)/2))*100</f>
        <v>-25.851826561966547</v>
      </c>
      <c r="H63" s="25">
        <f>(H12/((H14+G14)/2))*100</f>
        <v>-73.654825877590895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x14ac:dyDescent="0.25">
      <c r="C64" s="9"/>
      <c r="D64" s="9"/>
      <c r="E64" s="9"/>
      <c r="F64" s="9"/>
      <c r="G64" s="9"/>
      <c r="H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3:29" x14ac:dyDescent="0.25">
      <c r="C65" s="9"/>
      <c r="D65" s="9"/>
      <c r="E65" s="9"/>
      <c r="F65" s="9"/>
      <c r="G65" s="9"/>
      <c r="H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3:29" ht="15.75" thickBot="1" x14ac:dyDescent="0.3">
      <c r="C66" s="9"/>
      <c r="D66" s="9"/>
      <c r="E66" s="9"/>
      <c r="F66" s="9"/>
      <c r="G66" s="9"/>
      <c r="H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3:29" ht="15.75" thickBot="1" x14ac:dyDescent="0.3">
      <c r="C67" s="53" t="s">
        <v>66</v>
      </c>
      <c r="D67" s="50"/>
      <c r="E67" s="50"/>
      <c r="F67" s="50"/>
      <c r="G67" s="50"/>
      <c r="H67" s="50"/>
      <c r="I67" s="51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3:29" ht="15.75" thickBot="1" x14ac:dyDescent="0.3">
      <c r="C68" s="56" t="s">
        <v>65</v>
      </c>
      <c r="D68" s="52" t="s">
        <v>54</v>
      </c>
      <c r="E68" s="54" t="s">
        <v>55</v>
      </c>
      <c r="F68" s="54" t="s">
        <v>56</v>
      </c>
      <c r="G68" s="54" t="s">
        <v>57</v>
      </c>
      <c r="H68" s="54" t="s">
        <v>58</v>
      </c>
      <c r="I68" s="55" t="s">
        <v>17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3:29" x14ac:dyDescent="0.25">
      <c r="C69" s="57" t="s">
        <v>22</v>
      </c>
      <c r="D69" s="60">
        <v>162.5</v>
      </c>
      <c r="E69" s="61">
        <v>167.95</v>
      </c>
      <c r="F69" s="61">
        <v>152.65</v>
      </c>
      <c r="G69" s="61">
        <v>154.05000000000001</v>
      </c>
      <c r="H69" s="61">
        <v>154.05000000000001</v>
      </c>
      <c r="I69" s="62">
        <v>1099840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3:29" x14ac:dyDescent="0.25">
      <c r="C70" s="58" t="s">
        <v>18</v>
      </c>
      <c r="D70" s="63">
        <v>1293</v>
      </c>
      <c r="E70" s="3">
        <v>1356.03</v>
      </c>
      <c r="F70" s="3">
        <v>1293</v>
      </c>
      <c r="G70" s="3">
        <v>1353</v>
      </c>
      <c r="H70" s="3">
        <v>1353</v>
      </c>
      <c r="I70" s="64">
        <v>426539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3:29" x14ac:dyDescent="0.25">
      <c r="C71" s="58" t="s">
        <v>19</v>
      </c>
      <c r="D71" s="63">
        <v>2004</v>
      </c>
      <c r="E71" s="3">
        <v>2023</v>
      </c>
      <c r="F71" s="3">
        <v>1960</v>
      </c>
      <c r="G71" s="3">
        <v>2009</v>
      </c>
      <c r="H71" s="3">
        <v>2009</v>
      </c>
      <c r="I71" s="64">
        <v>381215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3:29" x14ac:dyDescent="0.25">
      <c r="C72" s="58" t="s">
        <v>20</v>
      </c>
      <c r="D72" s="63">
        <v>3338.7</v>
      </c>
      <c r="E72" s="3">
        <v>3397.77</v>
      </c>
      <c r="F72" s="3">
        <v>3302.74</v>
      </c>
      <c r="G72" s="3">
        <v>3337.41</v>
      </c>
      <c r="H72" s="3">
        <v>3337.41</v>
      </c>
      <c r="I72" s="64">
        <v>14344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3:29" ht="15.75" thickBot="1" x14ac:dyDescent="0.3">
      <c r="C73" s="59" t="s">
        <v>21</v>
      </c>
      <c r="D73" s="65">
        <v>7806.13</v>
      </c>
      <c r="E73" s="66">
        <v>7996.18</v>
      </c>
      <c r="F73" s="66">
        <v>7806.13</v>
      </c>
      <c r="G73" s="66">
        <v>7856.21</v>
      </c>
      <c r="H73" s="66">
        <v>7856.21</v>
      </c>
      <c r="I73" s="67">
        <v>16110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3:29" s="9" customFormat="1" x14ac:dyDescent="0.25"/>
    <row r="75" spans="3:29" s="9" customFormat="1" x14ac:dyDescent="0.25"/>
    <row r="76" spans="3:29" s="9" customFormat="1" x14ac:dyDescent="0.25"/>
    <row r="77" spans="3:29" s="9" customFormat="1" x14ac:dyDescent="0.25"/>
    <row r="78" spans="3:29" s="9" customFormat="1" x14ac:dyDescent="0.25"/>
    <row r="79" spans="3:29" s="9" customFormat="1" x14ac:dyDescent="0.25"/>
    <row r="80" spans="3:29" s="9" customFormat="1" x14ac:dyDescent="0.25"/>
    <row r="81" s="9" customFormat="1" x14ac:dyDescent="0.25"/>
    <row r="82" s="9" customFormat="1" x14ac:dyDescent="0.25"/>
    <row r="83" s="9" customFormat="1" x14ac:dyDescent="0.25"/>
    <row r="84" s="9" customFormat="1" x14ac:dyDescent="0.25"/>
    <row r="85" s="9" customFormat="1" x14ac:dyDescent="0.25"/>
    <row r="86" s="9" customFormat="1" x14ac:dyDescent="0.25"/>
    <row r="87" s="9" customFormat="1" x14ac:dyDescent="0.25"/>
    <row r="88" s="9" customFormat="1" x14ac:dyDescent="0.25"/>
    <row r="89" s="9" customFormat="1" x14ac:dyDescent="0.25"/>
    <row r="90" s="9" customFormat="1" x14ac:dyDescent="0.25"/>
    <row r="91" s="9" customFormat="1" x14ac:dyDescent="0.25"/>
    <row r="92" s="9" customFormat="1" x14ac:dyDescent="0.25"/>
    <row r="93" s="9" customFormat="1" x14ac:dyDescent="0.25"/>
    <row r="94" s="9" customFormat="1" x14ac:dyDescent="0.25"/>
    <row r="95" s="9" customFormat="1" x14ac:dyDescent="0.25"/>
    <row r="96" s="9" customFormat="1" x14ac:dyDescent="0.25"/>
    <row r="97" s="9" customFormat="1" x14ac:dyDescent="0.25"/>
    <row r="98" s="9" customFormat="1" x14ac:dyDescent="0.25"/>
    <row r="99" s="9" customFormat="1" x14ac:dyDescent="0.25"/>
    <row r="100" s="9" customFormat="1" x14ac:dyDescent="0.25"/>
    <row r="101" s="9" customFormat="1" x14ac:dyDescent="0.25"/>
    <row r="102" s="9" customFormat="1" x14ac:dyDescent="0.25"/>
    <row r="103" s="9" customFormat="1" x14ac:dyDescent="0.25"/>
    <row r="104" s="9" customFormat="1" x14ac:dyDescent="0.25"/>
    <row r="105" s="9" customFormat="1" x14ac:dyDescent="0.25"/>
    <row r="106" s="9" customFormat="1" x14ac:dyDescent="0.25"/>
    <row r="107" s="9" customFormat="1" x14ac:dyDescent="0.25"/>
    <row r="108" s="9" customFormat="1" x14ac:dyDescent="0.25"/>
    <row r="109" s="9" customFormat="1" x14ac:dyDescent="0.25"/>
    <row r="110" s="9" customFormat="1" x14ac:dyDescent="0.25"/>
    <row r="111" s="9" customFormat="1" x14ac:dyDescent="0.25"/>
    <row r="112" s="9" customFormat="1" x14ac:dyDescent="0.25"/>
    <row r="113" s="9" customFormat="1" x14ac:dyDescent="0.25"/>
    <row r="114" s="9" customFormat="1" x14ac:dyDescent="0.25"/>
    <row r="115" s="9" customFormat="1" x14ac:dyDescent="0.25"/>
    <row r="116" s="9" customFormat="1" x14ac:dyDescent="0.25"/>
    <row r="117" s="9" customFormat="1" x14ac:dyDescent="0.25"/>
    <row r="118" s="9" customFormat="1" x14ac:dyDescent="0.25"/>
    <row r="119" s="9" customFormat="1" x14ac:dyDescent="0.25"/>
    <row r="120" s="9" customFormat="1" x14ac:dyDescent="0.25"/>
    <row r="121" s="9" customFormat="1" x14ac:dyDescent="0.25"/>
    <row r="122" s="9" customFormat="1" x14ac:dyDescent="0.25"/>
    <row r="123" s="9" customFormat="1" x14ac:dyDescent="0.25"/>
    <row r="124" s="9" customFormat="1" x14ac:dyDescent="0.25"/>
    <row r="125" s="9" customFormat="1" x14ac:dyDescent="0.25"/>
    <row r="126" s="9" customFormat="1" x14ac:dyDescent="0.25"/>
    <row r="127" s="9" customFormat="1" x14ac:dyDescent="0.25"/>
    <row r="128" s="9" customFormat="1" x14ac:dyDescent="0.25"/>
    <row r="129" s="9" customFormat="1" x14ac:dyDescent="0.25"/>
    <row r="130" s="9" customFormat="1" x14ac:dyDescent="0.25"/>
    <row r="131" s="9" customFormat="1" x14ac:dyDescent="0.25"/>
    <row r="132" s="9" customFormat="1" x14ac:dyDescent="0.25"/>
    <row r="133" s="9" customFormat="1" x14ac:dyDescent="0.25"/>
    <row r="134" s="9" customFormat="1" x14ac:dyDescent="0.25"/>
    <row r="135" s="9" customFormat="1" x14ac:dyDescent="0.25"/>
    <row r="136" s="9" customFormat="1" x14ac:dyDescent="0.25"/>
    <row r="137" s="9" customFormat="1" x14ac:dyDescent="0.25"/>
    <row r="138" s="9" customFormat="1" x14ac:dyDescent="0.25"/>
    <row r="139" s="9" customFormat="1" x14ac:dyDescent="0.25"/>
    <row r="140" s="9" customFormat="1" x14ac:dyDescent="0.25"/>
    <row r="141" s="9" customFormat="1" x14ac:dyDescent="0.25"/>
    <row r="142" s="9" customFormat="1" x14ac:dyDescent="0.25"/>
    <row r="143" s="9" customFormat="1" x14ac:dyDescent="0.25"/>
    <row r="144" s="9" customFormat="1" x14ac:dyDescent="0.25"/>
    <row r="145" s="9" customFormat="1" x14ac:dyDescent="0.25"/>
    <row r="146" s="9" customFormat="1" x14ac:dyDescent="0.25"/>
    <row r="147" s="9" customFormat="1" x14ac:dyDescent="0.25"/>
    <row r="148" s="9" customFormat="1" x14ac:dyDescent="0.25"/>
    <row r="149" s="9" customFormat="1" x14ac:dyDescent="0.25"/>
    <row r="150" s="9" customFormat="1" x14ac:dyDescent="0.25"/>
    <row r="151" s="9" customFormat="1" x14ac:dyDescent="0.25"/>
    <row r="152" s="9" customFormat="1" x14ac:dyDescent="0.25"/>
    <row r="153" s="9" customFormat="1" x14ac:dyDescent="0.25"/>
    <row r="154" s="9" customFormat="1" x14ac:dyDescent="0.25"/>
    <row r="155" s="9" customFormat="1" x14ac:dyDescent="0.25"/>
    <row r="156" s="9" customFormat="1" x14ac:dyDescent="0.25"/>
    <row r="157" s="9" customFormat="1" x14ac:dyDescent="0.25"/>
    <row r="158" s="9" customFormat="1" x14ac:dyDescent="0.25"/>
    <row r="159" s="9" customFormat="1" x14ac:dyDescent="0.25"/>
    <row r="160" s="9" customFormat="1" x14ac:dyDescent="0.25"/>
    <row r="161" s="9" customFormat="1" x14ac:dyDescent="0.25"/>
    <row r="162" s="9" customFormat="1" x14ac:dyDescent="0.25"/>
    <row r="163" s="9" customFormat="1" x14ac:dyDescent="0.25"/>
    <row r="164" s="9" customFormat="1" x14ac:dyDescent="0.25"/>
    <row r="165" s="9" customFormat="1" x14ac:dyDescent="0.25"/>
    <row r="166" s="9" customFormat="1" x14ac:dyDescent="0.25"/>
    <row r="167" s="9" customFormat="1" x14ac:dyDescent="0.25"/>
    <row r="168" s="9" customFormat="1" x14ac:dyDescent="0.25"/>
    <row r="169" s="9" customFormat="1" x14ac:dyDescent="0.25"/>
    <row r="170" s="9" customFormat="1" x14ac:dyDescent="0.25"/>
    <row r="171" s="9" customFormat="1" x14ac:dyDescent="0.25"/>
    <row r="172" s="9" customFormat="1" x14ac:dyDescent="0.25"/>
    <row r="173" s="9" customFormat="1" x14ac:dyDescent="0.25"/>
    <row r="174" s="9" customFormat="1" x14ac:dyDescent="0.25"/>
    <row r="175" s="9" customFormat="1" x14ac:dyDescent="0.25"/>
    <row r="176" s="9" customFormat="1" x14ac:dyDescent="0.25"/>
    <row r="177" s="9" customFormat="1" x14ac:dyDescent="0.25"/>
    <row r="178" s="9" customFormat="1" x14ac:dyDescent="0.25"/>
    <row r="179" s="9" customFormat="1" x14ac:dyDescent="0.25"/>
    <row r="180" s="9" customFormat="1" x14ac:dyDescent="0.25"/>
    <row r="181" s="9" customFormat="1" x14ac:dyDescent="0.25"/>
    <row r="182" s="9" customFormat="1" x14ac:dyDescent="0.25"/>
    <row r="183" s="9" customFormat="1" x14ac:dyDescent="0.25"/>
    <row r="184" s="9" customFormat="1" x14ac:dyDescent="0.25"/>
    <row r="185" s="9" customFormat="1" x14ac:dyDescent="0.25"/>
    <row r="186" s="9" customFormat="1" x14ac:dyDescent="0.25"/>
    <row r="187" s="9" customFormat="1" x14ac:dyDescent="0.25"/>
    <row r="188" s="9" customFormat="1" x14ac:dyDescent="0.25"/>
    <row r="189" s="9" customFormat="1" x14ac:dyDescent="0.25"/>
    <row r="190" s="9" customFormat="1" x14ac:dyDescent="0.25"/>
    <row r="191" s="9" customFormat="1" x14ac:dyDescent="0.25"/>
    <row r="192" s="9" customFormat="1" x14ac:dyDescent="0.25"/>
    <row r="193" s="9" customFormat="1" x14ac:dyDescent="0.25"/>
    <row r="194" s="9" customFormat="1" x14ac:dyDescent="0.25"/>
    <row r="195" s="9" customFormat="1" x14ac:dyDescent="0.25"/>
    <row r="196" s="9" customFormat="1" x14ac:dyDescent="0.25"/>
    <row r="197" s="9" customFormat="1" x14ac:dyDescent="0.25"/>
    <row r="198" s="9" customFormat="1" x14ac:dyDescent="0.25"/>
    <row r="199" s="9" customFormat="1" x14ac:dyDescent="0.25"/>
    <row r="200" s="9" customFormat="1" x14ac:dyDescent="0.25"/>
    <row r="201" s="9" customFormat="1" x14ac:dyDescent="0.25"/>
    <row r="202" s="9" customFormat="1" x14ac:dyDescent="0.25"/>
    <row r="203" s="9" customFormat="1" x14ac:dyDescent="0.25"/>
    <row r="204" s="9" customFormat="1" x14ac:dyDescent="0.25"/>
    <row r="205" s="9" customFormat="1" x14ac:dyDescent="0.25"/>
    <row r="206" s="9" customFormat="1" x14ac:dyDescent="0.25"/>
    <row r="207" s="9" customFormat="1" x14ac:dyDescent="0.25"/>
    <row r="208" s="9" customFormat="1" x14ac:dyDescent="0.25"/>
    <row r="209" s="9" customFormat="1" x14ac:dyDescent="0.25"/>
    <row r="210" s="9" customFormat="1" x14ac:dyDescent="0.25"/>
    <row r="211" s="9" customFormat="1" x14ac:dyDescent="0.25"/>
    <row r="212" s="9" customFormat="1" x14ac:dyDescent="0.25"/>
    <row r="213" s="9" customFormat="1" x14ac:dyDescent="0.25"/>
    <row r="214" s="9" customFormat="1" x14ac:dyDescent="0.25"/>
    <row r="215" s="9" customFormat="1" x14ac:dyDescent="0.25"/>
  </sheetData>
  <mergeCells count="2">
    <mergeCell ref="D5:H5"/>
    <mergeCell ref="C67:I67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autoPageBreaks="0"/>
  </sheetPr>
  <dimension ref="A1:AI215"/>
  <sheetViews>
    <sheetView topLeftCell="A61" zoomScale="85" zoomScaleNormal="85" workbookViewId="0">
      <selection activeCell="K53" sqref="K53"/>
    </sheetView>
  </sheetViews>
  <sheetFormatPr defaultRowHeight="15" x14ac:dyDescent="0.25"/>
  <cols>
    <col min="1" max="1" width="9.140625" style="9"/>
    <col min="2" max="2" width="3.140625" style="9" bestFit="1" customWidth="1"/>
    <col min="3" max="3" width="30.5703125" bestFit="1" customWidth="1"/>
    <col min="4" max="4" width="15.5703125" style="2" customWidth="1"/>
    <col min="5" max="8" width="15.5703125" customWidth="1"/>
    <col min="9" max="9" width="14.85546875" style="9" customWidth="1"/>
    <col min="10" max="10" width="32.28515625" customWidth="1"/>
    <col min="11" max="15" width="19" customWidth="1"/>
    <col min="16" max="33" width="9.140625" style="9"/>
  </cols>
  <sheetData>
    <row r="1" spans="1:15" s="9" customFormat="1" x14ac:dyDescent="0.25">
      <c r="A1" s="15" t="s">
        <v>1</v>
      </c>
    </row>
    <row r="2" spans="1:15" s="9" customFormat="1" x14ac:dyDescent="0.25">
      <c r="A2" s="15" t="s">
        <v>0</v>
      </c>
    </row>
    <row r="3" spans="1:15" s="9" customFormat="1" x14ac:dyDescent="0.25">
      <c r="A3" s="15" t="s">
        <v>16</v>
      </c>
    </row>
    <row r="4" spans="1:15" s="9" customFormat="1" ht="15.75" thickBot="1" x14ac:dyDescent="0.3"/>
    <row r="5" spans="1:15" ht="15.75" thickBot="1" x14ac:dyDescent="0.3">
      <c r="C5" s="9"/>
      <c r="D5" s="70" t="s">
        <v>59</v>
      </c>
      <c r="E5" s="71"/>
      <c r="F5" s="71"/>
      <c r="G5" s="71"/>
      <c r="H5" s="72"/>
      <c r="K5" s="47" t="s">
        <v>60</v>
      </c>
      <c r="L5" s="48"/>
      <c r="M5" s="48"/>
      <c r="N5" s="48"/>
      <c r="O5" s="49"/>
    </row>
    <row r="6" spans="1:15" x14ac:dyDescent="0.25">
      <c r="C6" s="9"/>
      <c r="D6" s="45">
        <v>2018</v>
      </c>
      <c r="E6" s="31">
        <v>2019</v>
      </c>
      <c r="F6" s="32">
        <v>2020</v>
      </c>
      <c r="G6" s="32">
        <v>2021</v>
      </c>
      <c r="H6" s="46">
        <v>2022</v>
      </c>
      <c r="J6" s="9"/>
      <c r="K6" s="75">
        <v>2018</v>
      </c>
      <c r="L6" s="76">
        <v>2019</v>
      </c>
      <c r="M6" s="77">
        <v>2020</v>
      </c>
      <c r="N6" s="77">
        <v>2021</v>
      </c>
      <c r="O6" s="78">
        <v>2022</v>
      </c>
    </row>
    <row r="7" spans="1:15" ht="15.75" thickBot="1" x14ac:dyDescent="0.3">
      <c r="C7" s="9"/>
      <c r="D7" s="42" t="s">
        <v>15</v>
      </c>
      <c r="E7" s="43" t="s">
        <v>15</v>
      </c>
      <c r="F7" s="43" t="s">
        <v>15</v>
      </c>
      <c r="G7" s="43" t="s">
        <v>15</v>
      </c>
      <c r="H7" s="44" t="s">
        <v>15</v>
      </c>
      <c r="J7" s="9"/>
      <c r="K7" s="42" t="s">
        <v>15</v>
      </c>
      <c r="L7" s="43" t="s">
        <v>15</v>
      </c>
      <c r="M7" s="43" t="s">
        <v>15</v>
      </c>
      <c r="N7" s="43" t="s">
        <v>15</v>
      </c>
      <c r="O7" s="44" t="s">
        <v>15</v>
      </c>
    </row>
    <row r="8" spans="1:15" x14ac:dyDescent="0.25">
      <c r="C8" s="18" t="s">
        <v>14</v>
      </c>
      <c r="D8" s="26">
        <v>1096.5</v>
      </c>
      <c r="E8" s="26">
        <v>997.3</v>
      </c>
      <c r="F8" s="26">
        <v>611.79999999999995</v>
      </c>
      <c r="G8" s="26">
        <v>1095.3</v>
      </c>
      <c r="H8" s="27">
        <v>1381.5</v>
      </c>
      <c r="J8" s="88" t="s">
        <v>14</v>
      </c>
      <c r="K8" s="97">
        <v>1257.0160000000001</v>
      </c>
      <c r="L8" s="26">
        <v>1486.09</v>
      </c>
      <c r="M8" s="26">
        <v>772.78499999999997</v>
      </c>
      <c r="N8" s="26">
        <v>610.4</v>
      </c>
      <c r="O8" s="27">
        <v>627.79999999999995</v>
      </c>
    </row>
    <row r="9" spans="1:15" x14ac:dyDescent="0.25">
      <c r="C9" s="21" t="s">
        <v>24</v>
      </c>
      <c r="D9" s="5">
        <v>660.7</v>
      </c>
      <c r="E9" s="5">
        <v>642.70000000000005</v>
      </c>
      <c r="F9" s="5">
        <v>500.7</v>
      </c>
      <c r="G9" s="5">
        <v>751.6</v>
      </c>
      <c r="H9" s="28">
        <v>930.8</v>
      </c>
      <c r="J9" s="58" t="s">
        <v>24</v>
      </c>
      <c r="K9" s="79">
        <v>897.04899999999998</v>
      </c>
      <c r="L9" s="5">
        <v>1037.825</v>
      </c>
      <c r="M9" s="5">
        <v>627.84699999999998</v>
      </c>
      <c r="N9" s="5">
        <v>443.7</v>
      </c>
      <c r="O9" s="28">
        <v>506.1</v>
      </c>
    </row>
    <row r="10" spans="1:15" ht="14.1" customHeight="1" x14ac:dyDescent="0.25">
      <c r="C10" s="21" t="s">
        <v>25</v>
      </c>
      <c r="D10" s="5">
        <v>435.8</v>
      </c>
      <c r="E10" s="5">
        <v>354.6</v>
      </c>
      <c r="F10" s="5">
        <v>111.1</v>
      </c>
      <c r="G10" s="5">
        <v>343.7</v>
      </c>
      <c r="H10" s="28">
        <v>450.7</v>
      </c>
      <c r="J10" s="58" t="s">
        <v>25</v>
      </c>
      <c r="K10" s="79">
        <v>359.96699999999998</v>
      </c>
      <c r="L10" s="5">
        <v>448.26499999999999</v>
      </c>
      <c r="M10" s="5">
        <v>144.93799999999999</v>
      </c>
      <c r="N10" s="5">
        <v>166.7</v>
      </c>
      <c r="O10" s="28">
        <v>121.7</v>
      </c>
    </row>
    <row r="11" spans="1:15" x14ac:dyDescent="0.25">
      <c r="C11" s="21" t="s">
        <v>26</v>
      </c>
      <c r="D11" s="5">
        <v>72.8</v>
      </c>
      <c r="E11" s="5">
        <v>-36.700000000000003</v>
      </c>
      <c r="F11" s="5">
        <v>-322.89999999999998</v>
      </c>
      <c r="G11" s="5">
        <v>-76.5</v>
      </c>
      <c r="H11" s="28">
        <v>-141.80000000000001</v>
      </c>
      <c r="J11" s="58" t="s">
        <v>26</v>
      </c>
      <c r="K11" s="79">
        <v>-3.915</v>
      </c>
      <c r="L11" s="5">
        <v>24.885999999999999</v>
      </c>
      <c r="M11" s="5">
        <v>-291.14</v>
      </c>
      <c r="N11" s="5">
        <v>-144</v>
      </c>
      <c r="O11" s="28">
        <v>-131.30000000000001</v>
      </c>
    </row>
    <row r="12" spans="1:15" x14ac:dyDescent="0.25">
      <c r="C12" s="21" t="s">
        <v>27</v>
      </c>
      <c r="D12" s="5">
        <v>-57.1</v>
      </c>
      <c r="E12" s="5">
        <v>-104.4</v>
      </c>
      <c r="F12" s="5">
        <v>-410.5</v>
      </c>
      <c r="G12" s="5">
        <v>-189.3</v>
      </c>
      <c r="H12" s="28">
        <v>-527.70000000000005</v>
      </c>
      <c r="J12" s="58" t="s">
        <v>27</v>
      </c>
      <c r="K12" s="79">
        <v>-60.195999999999998</v>
      </c>
      <c r="L12" s="5">
        <v>-33.073</v>
      </c>
      <c r="M12" s="5">
        <v>-274.75900000000001</v>
      </c>
      <c r="N12" s="5">
        <v>-136</v>
      </c>
      <c r="O12" s="28">
        <v>-334.7</v>
      </c>
    </row>
    <row r="13" spans="1:15" x14ac:dyDescent="0.25">
      <c r="C13" s="21" t="s">
        <v>28</v>
      </c>
      <c r="D13" s="5">
        <v>2061.1999999999998</v>
      </c>
      <c r="E13" s="5">
        <v>2231.1</v>
      </c>
      <c r="F13" s="5">
        <v>2794.8</v>
      </c>
      <c r="G13" s="5">
        <v>2842.5</v>
      </c>
      <c r="H13" s="28">
        <v>3104.3</v>
      </c>
      <c r="J13" s="58" t="s">
        <v>28</v>
      </c>
      <c r="K13" s="79">
        <f>1039.644+548.938</f>
        <v>1588.5819999999999</v>
      </c>
      <c r="L13" s="5">
        <f>1182.108+604.145</f>
        <v>1786.2529999999999</v>
      </c>
      <c r="M13" s="5">
        <f>1156.98+515.857</f>
        <v>1672.837</v>
      </c>
      <c r="N13" s="5">
        <f>902.8+559.5</f>
        <v>1462.3</v>
      </c>
      <c r="O13" s="28">
        <f>895.9+499.3</f>
        <v>1395.2</v>
      </c>
    </row>
    <row r="14" spans="1:15" x14ac:dyDescent="0.25">
      <c r="C14" s="21" t="s">
        <v>29</v>
      </c>
      <c r="D14" s="5">
        <v>449.4</v>
      </c>
      <c r="E14" s="5">
        <v>358.9</v>
      </c>
      <c r="F14" s="5">
        <v>804.1</v>
      </c>
      <c r="G14" s="5">
        <v>660.4</v>
      </c>
      <c r="H14" s="28">
        <v>772.5</v>
      </c>
      <c r="J14" s="58" t="s">
        <v>29</v>
      </c>
      <c r="K14" s="79">
        <v>236.08099999999999</v>
      </c>
      <c r="L14" s="5">
        <v>277.661</v>
      </c>
      <c r="M14" s="5">
        <v>446.32499999999999</v>
      </c>
      <c r="N14" s="5">
        <v>617.79999999999995</v>
      </c>
      <c r="O14" s="28">
        <v>415.1</v>
      </c>
    </row>
    <row r="15" spans="1:15" x14ac:dyDescent="0.25">
      <c r="C15" s="21" t="s">
        <v>30</v>
      </c>
      <c r="D15" s="5">
        <v>551.6</v>
      </c>
      <c r="E15" s="5">
        <v>567.5</v>
      </c>
      <c r="F15" s="5">
        <v>889.5</v>
      </c>
      <c r="G15" s="5">
        <v>867.9</v>
      </c>
      <c r="H15" s="28">
        <v>1125.4000000000001</v>
      </c>
      <c r="J15" s="58" t="s">
        <v>30</v>
      </c>
      <c r="K15" s="79">
        <v>548.93799999999999</v>
      </c>
      <c r="L15" s="5">
        <v>604.14499999999998</v>
      </c>
      <c r="M15" s="5">
        <v>515.85699999999997</v>
      </c>
      <c r="N15" s="7">
        <v>559.5</v>
      </c>
      <c r="O15" s="80">
        <v>499.3</v>
      </c>
    </row>
    <row r="16" spans="1:15" x14ac:dyDescent="0.25">
      <c r="C16" s="21" t="s">
        <v>31</v>
      </c>
      <c r="D16" s="5">
        <v>815.4</v>
      </c>
      <c r="E16" s="5">
        <v>858.2</v>
      </c>
      <c r="F16" s="5">
        <v>808.3</v>
      </c>
      <c r="G16" s="5">
        <v>905.2</v>
      </c>
      <c r="H16" s="28">
        <v>1041.9000000000001</v>
      </c>
      <c r="J16" s="58" t="s">
        <v>31</v>
      </c>
      <c r="K16" s="79">
        <v>671.37400000000002</v>
      </c>
      <c r="L16" s="7">
        <v>748.95299999999997</v>
      </c>
      <c r="M16" s="7">
        <v>462.33600000000001</v>
      </c>
      <c r="N16" s="5">
        <v>339.5</v>
      </c>
      <c r="O16" s="28">
        <v>413.8</v>
      </c>
    </row>
    <row r="17" spans="1:16" x14ac:dyDescent="0.25">
      <c r="C17" s="21" t="s">
        <v>32</v>
      </c>
      <c r="D17" s="5">
        <v>796.4</v>
      </c>
      <c r="E17" s="5">
        <v>1014</v>
      </c>
      <c r="F17" s="5">
        <v>1182.4000000000001</v>
      </c>
      <c r="G17" s="5">
        <v>1276.9000000000001</v>
      </c>
      <c r="H17" s="28">
        <v>1289.9000000000001</v>
      </c>
      <c r="J17" s="58" t="s">
        <v>32</v>
      </c>
      <c r="K17" s="79">
        <f>572.564+8.413</f>
        <v>580.97699999999998</v>
      </c>
      <c r="L17" s="5">
        <f>636.35+26.796</f>
        <v>663.14600000000007</v>
      </c>
      <c r="M17" s="5">
        <f>631.01+40.33</f>
        <v>671.34</v>
      </c>
      <c r="N17" s="5">
        <f>459.9+45.1</f>
        <v>505</v>
      </c>
      <c r="O17" s="28">
        <f>511.7+54.6</f>
        <v>566.29999999999995</v>
      </c>
    </row>
    <row r="18" spans="1:16" x14ac:dyDescent="0.25">
      <c r="C18" s="21" t="s">
        <v>33</v>
      </c>
      <c r="D18" s="5">
        <v>1611.8</v>
      </c>
      <c r="E18" s="5">
        <v>1872.2</v>
      </c>
      <c r="F18" s="5">
        <v>1990.7</v>
      </c>
      <c r="G18" s="5">
        <v>2182.1</v>
      </c>
      <c r="H18" s="28">
        <v>2331.8000000000002</v>
      </c>
      <c r="J18" s="58" t="s">
        <v>34</v>
      </c>
      <c r="K18" s="79">
        <v>236.08099999999999</v>
      </c>
      <c r="L18" s="5">
        <v>277.661</v>
      </c>
      <c r="M18" s="5">
        <v>446.32499999999999</v>
      </c>
      <c r="N18" s="5">
        <v>617.79999999999995</v>
      </c>
      <c r="O18" s="28">
        <v>415.8</v>
      </c>
    </row>
    <row r="19" spans="1:16" x14ac:dyDescent="0.25">
      <c r="C19" s="21" t="s">
        <v>34</v>
      </c>
      <c r="D19" s="5">
        <v>449.4</v>
      </c>
      <c r="E19" s="5">
        <v>358.9</v>
      </c>
      <c r="F19" s="5">
        <v>804.1</v>
      </c>
      <c r="G19" s="5">
        <v>660.4</v>
      </c>
      <c r="H19" s="28">
        <v>772.5</v>
      </c>
      <c r="J19" s="58" t="s">
        <v>36</v>
      </c>
      <c r="K19" s="79">
        <v>155.393</v>
      </c>
      <c r="L19" s="5">
        <v>151.65600000000001</v>
      </c>
      <c r="M19" s="5">
        <v>112.773</v>
      </c>
      <c r="N19" s="5">
        <v>195.3</v>
      </c>
      <c r="O19" s="28">
        <v>167.6</v>
      </c>
    </row>
    <row r="20" spans="1:16" x14ac:dyDescent="0.25">
      <c r="A20" s="10"/>
      <c r="C20" s="21" t="s">
        <v>35</v>
      </c>
      <c r="D20" s="5">
        <v>796.4</v>
      </c>
      <c r="E20" s="5">
        <v>1014</v>
      </c>
      <c r="F20" s="5">
        <v>1182.4000000000001</v>
      </c>
      <c r="G20" s="5">
        <v>1276.9000000000001</v>
      </c>
      <c r="H20" s="28">
        <v>1289.9000000000001</v>
      </c>
      <c r="J20" s="58" t="s">
        <v>38</v>
      </c>
      <c r="K20" s="79">
        <v>96.738</v>
      </c>
      <c r="L20" s="5">
        <v>56.213999999999999</v>
      </c>
      <c r="M20" s="5">
        <v>66.709000000000003</v>
      </c>
      <c r="N20" s="5">
        <v>76.7</v>
      </c>
      <c r="O20" s="28">
        <v>100.7</v>
      </c>
    </row>
    <row r="21" spans="1:16" x14ac:dyDescent="0.25">
      <c r="C21" s="21" t="s">
        <v>36</v>
      </c>
      <c r="D21" s="5">
        <v>165.3</v>
      </c>
      <c r="E21" s="5">
        <v>200.7</v>
      </c>
      <c r="F21" s="5">
        <v>207.4</v>
      </c>
      <c r="G21" s="5">
        <v>196.8</v>
      </c>
      <c r="H21" s="28">
        <v>286.2</v>
      </c>
      <c r="J21" s="58" t="s">
        <v>39</v>
      </c>
      <c r="K21" s="79">
        <f>K8/365</f>
        <v>3.4438794520547948</v>
      </c>
      <c r="L21" s="5">
        <f>L8/365</f>
        <v>4.0714794520547946</v>
      </c>
      <c r="M21" s="5">
        <f>M8/365</f>
        <v>2.1172191780821916</v>
      </c>
      <c r="N21" s="5">
        <f>N8/365</f>
        <v>1.6723287671232876</v>
      </c>
      <c r="O21" s="28">
        <f>O8/365</f>
        <v>1.72</v>
      </c>
    </row>
    <row r="22" spans="1:16" ht="15.75" thickBot="1" x14ac:dyDescent="0.3">
      <c r="C22" s="21" t="s">
        <v>37</v>
      </c>
      <c r="D22" s="5">
        <f>44.6+1.1+32+5.6</f>
        <v>83.3</v>
      </c>
      <c r="E22" s="5">
        <f>7.5+4.6+1.1+8.8+55.3</f>
        <v>77.3</v>
      </c>
      <c r="F22" s="5">
        <f>4.1+0.7+1.9+98.4</f>
        <v>105.10000000000001</v>
      </c>
      <c r="G22" s="5">
        <f>3.9+1.3+4.8+151.3</f>
        <v>161.30000000000001</v>
      </c>
      <c r="H22" s="28">
        <f>4.5+1.4+8+166</f>
        <v>179.9</v>
      </c>
      <c r="J22" s="59" t="s">
        <v>40</v>
      </c>
      <c r="K22" s="81">
        <f>K9/365</f>
        <v>2.4576684931506847</v>
      </c>
      <c r="L22" s="82">
        <f>L9/365</f>
        <v>2.8433561643835619</v>
      </c>
      <c r="M22" s="82">
        <f>M9/365</f>
        <v>1.7201287671232877</v>
      </c>
      <c r="N22" s="82">
        <f>N9/365</f>
        <v>1.2156164383561643</v>
      </c>
      <c r="O22" s="83">
        <f>O9/365</f>
        <v>1.3865753424657534</v>
      </c>
    </row>
    <row r="23" spans="1:16" x14ac:dyDescent="0.25">
      <c r="C23" s="21" t="s">
        <v>38</v>
      </c>
      <c r="D23" s="5">
        <v>144.6</v>
      </c>
      <c r="E23" s="5">
        <v>107.9</v>
      </c>
      <c r="F23" s="5">
        <v>489.4</v>
      </c>
      <c r="G23" s="5">
        <v>418.9</v>
      </c>
      <c r="H23" s="28">
        <v>583.29999999999995</v>
      </c>
      <c r="J23" s="9"/>
      <c r="K23" s="9"/>
      <c r="L23" s="9"/>
      <c r="M23" s="9"/>
      <c r="N23" s="9"/>
      <c r="O23" s="9"/>
    </row>
    <row r="24" spans="1:16" x14ac:dyDescent="0.25">
      <c r="C24" s="21" t="s">
        <v>39</v>
      </c>
      <c r="D24" s="5">
        <f>D8/365</f>
        <v>3.004109589041096</v>
      </c>
      <c r="E24" s="5">
        <f>E8/365</f>
        <v>2.7323287671232874</v>
      </c>
      <c r="F24" s="5">
        <f>F8/365</f>
        <v>1.6761643835616438</v>
      </c>
      <c r="G24" s="5">
        <f>G8/365</f>
        <v>3.0008219178082189</v>
      </c>
      <c r="H24" s="28">
        <f>H8/365</f>
        <v>3.7849315068493152</v>
      </c>
      <c r="J24" s="9"/>
      <c r="K24" s="9"/>
      <c r="L24" s="9"/>
      <c r="M24" s="9"/>
      <c r="N24" s="9"/>
      <c r="O24" s="9"/>
    </row>
    <row r="25" spans="1:16" x14ac:dyDescent="0.25">
      <c r="C25" s="21" t="s">
        <v>40</v>
      </c>
      <c r="D25" s="5">
        <f>D9/365</f>
        <v>1.8101369863013699</v>
      </c>
      <c r="E25" s="5">
        <f>E9/365</f>
        <v>1.7608219178082194</v>
      </c>
      <c r="F25" s="5">
        <f>F9/365</f>
        <v>1.3717808219178083</v>
      </c>
      <c r="G25" s="5">
        <f t="shared" ref="G25" si="0">G9/365</f>
        <v>2.0591780821917807</v>
      </c>
      <c r="H25" s="28">
        <f>H9/365</f>
        <v>2.5501369863013696</v>
      </c>
      <c r="J25" s="9"/>
      <c r="K25" s="9"/>
      <c r="L25" s="9"/>
      <c r="M25" s="9"/>
      <c r="N25" s="9"/>
      <c r="O25" s="9"/>
    </row>
    <row r="26" spans="1:16" x14ac:dyDescent="0.25">
      <c r="C26" s="21" t="s">
        <v>41</v>
      </c>
      <c r="D26" s="5">
        <f>1.8+241.6</f>
        <v>243.4</v>
      </c>
      <c r="E26" s="5">
        <f>1.8+249.7</f>
        <v>251.5</v>
      </c>
      <c r="F26" s="5">
        <f>0.9+177.9</f>
        <v>178.8</v>
      </c>
      <c r="G26" s="5">
        <f>2.1+243.4</f>
        <v>245.5</v>
      </c>
      <c r="H26" s="68">
        <f>6.3+245.7</f>
        <v>252</v>
      </c>
      <c r="I26" s="16"/>
      <c r="J26" s="69"/>
      <c r="K26" s="16"/>
      <c r="L26" s="16"/>
      <c r="M26" s="16"/>
      <c r="N26" s="16"/>
      <c r="O26" s="16"/>
      <c r="P26" s="16"/>
    </row>
    <row r="27" spans="1:16" x14ac:dyDescent="0.25">
      <c r="C27" s="21" t="s">
        <v>42</v>
      </c>
      <c r="D27" s="5">
        <f>12.2+696.1</f>
        <v>708.30000000000007</v>
      </c>
      <c r="E27" s="5">
        <f>9.4+702.1</f>
        <v>711.5</v>
      </c>
      <c r="F27" s="5">
        <f>578.9+7.5</f>
        <v>586.4</v>
      </c>
      <c r="G27" s="5">
        <f>721+9.8</f>
        <v>730.8</v>
      </c>
      <c r="H27" s="68">
        <f>876.3+9.1</f>
        <v>885.4</v>
      </c>
      <c r="I27" s="16"/>
      <c r="J27" s="69"/>
      <c r="K27" s="16"/>
      <c r="L27" s="16"/>
      <c r="M27" s="16"/>
      <c r="N27" s="16"/>
      <c r="O27" s="16"/>
      <c r="P27" s="16"/>
    </row>
    <row r="28" spans="1:16" ht="15.75" thickBot="1" x14ac:dyDescent="0.3">
      <c r="C28" s="23" t="s">
        <v>43</v>
      </c>
      <c r="D28" s="29">
        <v>202.1</v>
      </c>
      <c r="E28" s="29">
        <v>228</v>
      </c>
      <c r="F28" s="29">
        <v>77.2</v>
      </c>
      <c r="G28" s="29">
        <v>115.5</v>
      </c>
      <c r="H28" s="74">
        <v>424.7</v>
      </c>
      <c r="I28" s="16"/>
      <c r="J28" s="69"/>
      <c r="K28" s="16"/>
      <c r="L28" s="16"/>
      <c r="M28" s="16"/>
      <c r="N28" s="16"/>
      <c r="O28" s="16"/>
      <c r="P28" s="16"/>
    </row>
    <row r="29" spans="1:16" x14ac:dyDescent="0.25">
      <c r="C29" s="9"/>
      <c r="D29" s="11"/>
      <c r="E29" s="11"/>
      <c r="F29" s="11"/>
      <c r="G29" s="11"/>
      <c r="H29" s="11"/>
      <c r="I29" s="16"/>
      <c r="J29" s="16"/>
      <c r="K29" s="16"/>
      <c r="L29" s="16"/>
      <c r="M29" s="16"/>
      <c r="N29" s="16"/>
      <c r="O29" s="16"/>
      <c r="P29" s="16"/>
    </row>
    <row r="30" spans="1:16" ht="15.75" thickBot="1" x14ac:dyDescent="0.3">
      <c r="C30" s="9"/>
      <c r="D30" s="12"/>
      <c r="E30" s="12"/>
      <c r="F30" s="12"/>
      <c r="G30" s="12"/>
      <c r="H30" s="12"/>
      <c r="I30" s="16"/>
      <c r="J30" s="16"/>
      <c r="K30" s="16"/>
      <c r="L30" s="16"/>
      <c r="M30" s="16"/>
      <c r="N30" s="16"/>
      <c r="O30" s="16"/>
      <c r="P30" s="16"/>
    </row>
    <row r="31" spans="1:16" ht="15.75" thickBot="1" x14ac:dyDescent="0.3">
      <c r="C31" s="1" t="s">
        <v>2</v>
      </c>
      <c r="D31" s="38">
        <v>2018</v>
      </c>
      <c r="E31" s="39">
        <v>2019</v>
      </c>
      <c r="F31" s="40">
        <v>2020</v>
      </c>
      <c r="G31" s="40">
        <v>2021</v>
      </c>
      <c r="H31" s="41">
        <v>2022</v>
      </c>
      <c r="J31" s="1" t="s">
        <v>2</v>
      </c>
      <c r="K31" s="84">
        <v>2018</v>
      </c>
      <c r="L31" s="85">
        <v>2019</v>
      </c>
      <c r="M31" s="86">
        <v>2020</v>
      </c>
      <c r="N31" s="86">
        <v>2021</v>
      </c>
      <c r="O31" s="87">
        <v>2022</v>
      </c>
    </row>
    <row r="32" spans="1:16" x14ac:dyDescent="0.25">
      <c r="B32" s="9">
        <v>1</v>
      </c>
      <c r="C32" s="18" t="s">
        <v>44</v>
      </c>
      <c r="D32" s="19">
        <f>(D10/D8)*100</f>
        <v>39.74464204286366</v>
      </c>
      <c r="E32" s="19">
        <f>(E10/E8)*100</f>
        <v>35.556001203248776</v>
      </c>
      <c r="F32" s="19">
        <f>(F10/F8)*100</f>
        <v>18.159529257927428</v>
      </c>
      <c r="G32" s="19">
        <f>(G10/G8)*100</f>
        <v>31.379530722176575</v>
      </c>
      <c r="H32" s="20">
        <f>(H10/H8)*100</f>
        <v>32.623959464350342</v>
      </c>
      <c r="J32" s="18" t="s">
        <v>44</v>
      </c>
      <c r="K32" s="89">
        <f>(K10/K8)*100</f>
        <v>28.636628332495366</v>
      </c>
      <c r="L32" s="19">
        <f>(L10/L8)*100</f>
        <v>30.1640546669448</v>
      </c>
      <c r="M32" s="19">
        <f>(M10/M8)*100</f>
        <v>18.755281223108625</v>
      </c>
      <c r="N32" s="19">
        <f>(N10/N8)*100</f>
        <v>27.309960681520312</v>
      </c>
      <c r="O32" s="20">
        <f>(O10/O8)*100</f>
        <v>19.385154507805037</v>
      </c>
    </row>
    <row r="33" spans="1:15" x14ac:dyDescent="0.25">
      <c r="B33" s="9">
        <v>2</v>
      </c>
      <c r="C33" s="21" t="s">
        <v>45</v>
      </c>
      <c r="D33" s="4">
        <f>(D11/D$8)*100</f>
        <v>6.6393068855449151</v>
      </c>
      <c r="E33" s="4">
        <f>(E11/E$8)*100</f>
        <v>-3.6799358267321773</v>
      </c>
      <c r="F33" s="4">
        <f>(F11/F$8)*100</f>
        <v>-52.778685845047399</v>
      </c>
      <c r="G33" s="4">
        <f t="shared" ref="F33:H34" si="1">(G11/G$8)*100</f>
        <v>-6.9843878389482335</v>
      </c>
      <c r="H33" s="22">
        <f t="shared" si="1"/>
        <v>-10.264205573651829</v>
      </c>
      <c r="J33" s="21" t="s">
        <v>45</v>
      </c>
      <c r="K33" s="90">
        <f>(K11/K$8)*100</f>
        <v>-0.31145188287181708</v>
      </c>
      <c r="L33" s="4">
        <f>(L11/L$8)*100</f>
        <v>1.6745957512667471</v>
      </c>
      <c r="M33" s="4">
        <f>(M11/M$8)*100</f>
        <v>-37.674126697593771</v>
      </c>
      <c r="N33" s="4">
        <f t="shared" ref="N33:O33" si="2">(N11/N$8)*100</f>
        <v>-23.591087811271301</v>
      </c>
      <c r="O33" s="22">
        <f t="shared" si="2"/>
        <v>-20.914303918445366</v>
      </c>
    </row>
    <row r="34" spans="1:15" x14ac:dyDescent="0.25">
      <c r="B34" s="9">
        <v>3</v>
      </c>
      <c r="C34" s="21" t="s">
        <v>46</v>
      </c>
      <c r="D34" s="4">
        <f>(D12/D$8)*100</f>
        <v>-5.2074783401732789</v>
      </c>
      <c r="E34" s="4">
        <f>(E12/E$8)*100</f>
        <v>-10.468264313646849</v>
      </c>
      <c r="F34" s="4">
        <f t="shared" si="1"/>
        <v>-67.097090552468131</v>
      </c>
      <c r="G34" s="4">
        <f>(G12/G$8)*100</f>
        <v>-17.282936181867985</v>
      </c>
      <c r="H34" s="22">
        <f>(H12/H$8)*100</f>
        <v>-38.197611292073837</v>
      </c>
      <c r="J34" s="21" t="s">
        <v>46</v>
      </c>
      <c r="K34" s="90">
        <f>(K12/K$8)*100</f>
        <v>-4.7888014154155547</v>
      </c>
      <c r="L34" s="4">
        <f>(L12/L$8)*100</f>
        <v>-2.2255045118397945</v>
      </c>
      <c r="M34" s="4">
        <f t="shared" ref="M34" si="3">(M12/M$8)*100</f>
        <v>-35.554390936677088</v>
      </c>
      <c r="N34" s="4">
        <f>(N12/N$8)*100</f>
        <v>-22.280471821756226</v>
      </c>
      <c r="O34" s="22">
        <f>(O12/O$8)*100</f>
        <v>-53.313157056387382</v>
      </c>
    </row>
    <row r="35" spans="1:15" x14ac:dyDescent="0.25">
      <c r="B35" s="9">
        <v>4</v>
      </c>
      <c r="C35" s="21" t="s">
        <v>47</v>
      </c>
      <c r="D35" s="4">
        <f>(D12/D13)*100</f>
        <v>-2.7702309334368334</v>
      </c>
      <c r="E35" s="4">
        <f>(E12/E13)*100</f>
        <v>-4.6793061718434856</v>
      </c>
      <c r="F35" s="4">
        <f>(F12/F13)*100</f>
        <v>-14.687991985115211</v>
      </c>
      <c r="G35" s="4">
        <f>(G12/G13)*100</f>
        <v>-6.6596306068601594</v>
      </c>
      <c r="H35" s="22">
        <f>(H12/H13)*100</f>
        <v>-16.999001385175401</v>
      </c>
      <c r="J35" s="21" t="s">
        <v>47</v>
      </c>
      <c r="K35" s="90">
        <f>(K12/K13)*100</f>
        <v>-3.7892913302555362</v>
      </c>
      <c r="L35" s="4">
        <f>(L12/L13)*100</f>
        <v>-1.8515294306013761</v>
      </c>
      <c r="M35" s="4">
        <f>(M12/M13)*100</f>
        <v>-16.424732355872091</v>
      </c>
      <c r="N35" s="4">
        <f>(N12/N13)*100</f>
        <v>-9.3004171510633942</v>
      </c>
      <c r="O35" s="22">
        <f>(O12/O13)*100</f>
        <v>-23.98939220183486</v>
      </c>
    </row>
    <row r="36" spans="1:15" ht="15.75" thickBot="1" x14ac:dyDescent="0.3">
      <c r="B36" s="9">
        <v>5</v>
      </c>
      <c r="C36" s="23" t="s">
        <v>3</v>
      </c>
      <c r="D36" s="24">
        <f>(D$12/D14)*100</f>
        <v>-12.705829995549623</v>
      </c>
      <c r="E36" s="24">
        <f>(E$12/E14)*100</f>
        <v>-29.088882697130124</v>
      </c>
      <c r="F36" s="24">
        <f t="shared" ref="F36:H36" si="4">(F$12/F14)*100</f>
        <v>-51.050864320358158</v>
      </c>
      <c r="G36" s="24">
        <f t="shared" si="4"/>
        <v>-28.664445790430044</v>
      </c>
      <c r="H36" s="25">
        <f t="shared" si="4"/>
        <v>-68.3106796116505</v>
      </c>
      <c r="J36" s="23" t="s">
        <v>3</v>
      </c>
      <c r="K36" s="91">
        <f>(K$12/K14)*100</f>
        <v>-25.498028219128184</v>
      </c>
      <c r="L36" s="24">
        <f>(L$12/L14)*100</f>
        <v>-11.911287505267214</v>
      </c>
      <c r="M36" s="24">
        <f>(M$12/M14)*100</f>
        <v>-61.560297989133481</v>
      </c>
      <c r="N36" s="24">
        <f>(N$12/N14)*100</f>
        <v>-22.013596633214636</v>
      </c>
      <c r="O36" s="25">
        <f>(O$12/O14)*100</f>
        <v>-80.631173211274387</v>
      </c>
    </row>
    <row r="37" spans="1:15" x14ac:dyDescent="0.25">
      <c r="A37" s="16"/>
      <c r="B37" s="16"/>
      <c r="C37" s="17"/>
      <c r="D37" s="13"/>
      <c r="E37" s="13"/>
      <c r="F37" s="11"/>
      <c r="G37" s="13"/>
      <c r="H37" s="13"/>
      <c r="J37" s="9"/>
      <c r="K37" s="9"/>
      <c r="L37" s="9"/>
      <c r="M37" s="9"/>
      <c r="N37" s="9"/>
      <c r="O37" s="9"/>
    </row>
    <row r="38" spans="1:15" ht="15.75" thickBot="1" x14ac:dyDescent="0.3">
      <c r="C38" s="9"/>
      <c r="D38" s="12"/>
      <c r="E38" s="12"/>
      <c r="F38" s="12"/>
      <c r="G38" s="12"/>
      <c r="H38" s="12"/>
      <c r="J38" s="9"/>
      <c r="K38" s="9"/>
      <c r="L38" s="9"/>
      <c r="M38" s="9"/>
      <c r="N38" s="9"/>
      <c r="O38" s="9"/>
    </row>
    <row r="39" spans="1:15" ht="15.75" thickBot="1" x14ac:dyDescent="0.3">
      <c r="C39" s="14" t="s">
        <v>4</v>
      </c>
      <c r="D39" s="35">
        <v>2018</v>
      </c>
      <c r="E39" s="36">
        <v>2019</v>
      </c>
      <c r="F39" s="36">
        <v>2020</v>
      </c>
      <c r="G39" s="36">
        <v>2021</v>
      </c>
      <c r="H39" s="37">
        <v>2022</v>
      </c>
      <c r="J39" s="14" t="s">
        <v>4</v>
      </c>
      <c r="K39" s="38">
        <v>2018</v>
      </c>
      <c r="L39" s="39">
        <v>2019</v>
      </c>
      <c r="M39" s="40">
        <v>2020</v>
      </c>
      <c r="N39" s="40">
        <v>2021</v>
      </c>
      <c r="O39" s="41">
        <v>2022</v>
      </c>
    </row>
    <row r="40" spans="1:15" x14ac:dyDescent="0.25">
      <c r="B40" s="9">
        <v>6</v>
      </c>
      <c r="C40" s="18" t="s">
        <v>5</v>
      </c>
      <c r="D40" s="19">
        <f>D15/D16</f>
        <v>0.67647780230561694</v>
      </c>
      <c r="E40" s="19">
        <f>E15/E16</f>
        <v>0.66126776975064083</v>
      </c>
      <c r="F40" s="19">
        <f>F15/F16</f>
        <v>1.1004577508350861</v>
      </c>
      <c r="G40" s="19">
        <f>G15/G16</f>
        <v>0.95879363676535567</v>
      </c>
      <c r="H40" s="20">
        <f>H15/H16</f>
        <v>1.0801420481812074</v>
      </c>
      <c r="J40" s="18" t="s">
        <v>5</v>
      </c>
      <c r="K40" s="19">
        <f>K15/K16</f>
        <v>0.8176336885253227</v>
      </c>
      <c r="L40" s="19">
        <f>L15/L16</f>
        <v>0.80665275391112656</v>
      </c>
      <c r="M40" s="19">
        <f>M15/M16</f>
        <v>1.1157621297065337</v>
      </c>
      <c r="N40" s="19">
        <f>N15/N16</f>
        <v>1.6480117820324005</v>
      </c>
      <c r="O40" s="20">
        <f>O15/O16</f>
        <v>1.2066215563073948</v>
      </c>
    </row>
    <row r="41" spans="1:15" x14ac:dyDescent="0.25">
      <c r="B41" s="9">
        <v>7</v>
      </c>
      <c r="C41" s="21" t="s">
        <v>6</v>
      </c>
      <c r="D41" s="4">
        <f>(D15-D21)/D16</f>
        <v>0.47375521216580824</v>
      </c>
      <c r="E41" s="4">
        <f>(E15-E21)/E16</f>
        <v>0.42740619902120719</v>
      </c>
      <c r="F41" s="4">
        <f t="shared" ref="F41:G41" si="5">(F15-F21)/F16</f>
        <v>0.84386985030310535</v>
      </c>
      <c r="G41" s="4">
        <f t="shared" si="5"/>
        <v>0.74138311975254079</v>
      </c>
      <c r="H41" s="22">
        <f>(H15-H21)/H16</f>
        <v>0.80545157884633845</v>
      </c>
      <c r="J41" s="21" t="s">
        <v>6</v>
      </c>
      <c r="K41" s="4">
        <f>(K15-K19)/K16</f>
        <v>0.58617849365629282</v>
      </c>
      <c r="L41" s="4">
        <f>(L15-L19)/L16</f>
        <v>0.60416207692605539</v>
      </c>
      <c r="M41" s="4">
        <f>(M15-M19)/M16</f>
        <v>0.87184212347729773</v>
      </c>
      <c r="N41" s="4">
        <f>(N15-N19)/N16</f>
        <v>1.0727540500736377</v>
      </c>
      <c r="O41" s="22">
        <f>(O15-O19)/O16</f>
        <v>0.80159497341710984</v>
      </c>
    </row>
    <row r="42" spans="1:15" ht="15.75" thickBot="1" x14ac:dyDescent="0.3">
      <c r="B42" s="9">
        <v>8</v>
      </c>
      <c r="C42" s="23" t="s">
        <v>7</v>
      </c>
      <c r="D42" s="24">
        <f>D23/D16</f>
        <v>0.17733627667402502</v>
      </c>
      <c r="E42" s="24">
        <f>E23/E16</f>
        <v>0.12572826846888838</v>
      </c>
      <c r="F42" s="24">
        <f>F23/F16</f>
        <v>0.60546826673264875</v>
      </c>
      <c r="G42" s="24">
        <f>G23/G16</f>
        <v>0.46277065841802911</v>
      </c>
      <c r="H42" s="25">
        <f>H23/H16</f>
        <v>0.55984259525866198</v>
      </c>
      <c r="J42" s="23" t="s">
        <v>7</v>
      </c>
      <c r="K42" s="24">
        <f>K20/K16</f>
        <v>0.14408958345125072</v>
      </c>
      <c r="L42" s="24">
        <f>L20/L16</f>
        <v>7.5056779263852333E-2</v>
      </c>
      <c r="M42" s="24">
        <f>M20/M16</f>
        <v>0.14428683900885936</v>
      </c>
      <c r="N42" s="24">
        <f>N20/N16</f>
        <v>0.22592047128129603</v>
      </c>
      <c r="O42" s="25">
        <f>O20/O16</f>
        <v>0.24335427742870952</v>
      </c>
    </row>
    <row r="43" spans="1:15" ht="15.75" thickBot="1" x14ac:dyDescent="0.3">
      <c r="A43" s="16"/>
      <c r="B43" s="16"/>
      <c r="C43" s="16"/>
      <c r="D43" s="12"/>
      <c r="E43" s="12"/>
      <c r="F43" s="12"/>
      <c r="G43" s="12"/>
      <c r="H43" s="12"/>
      <c r="I43" s="16"/>
      <c r="J43" s="9"/>
      <c r="K43" s="9"/>
      <c r="L43" s="9"/>
      <c r="M43" s="9"/>
      <c r="N43" s="9"/>
      <c r="O43" s="9"/>
    </row>
    <row r="44" spans="1:15" ht="15.75" thickBot="1" x14ac:dyDescent="0.3">
      <c r="C44" s="1" t="s">
        <v>13</v>
      </c>
      <c r="D44" s="38">
        <v>2018</v>
      </c>
      <c r="E44" s="39">
        <v>2019</v>
      </c>
      <c r="F44" s="40">
        <v>2020</v>
      </c>
      <c r="G44" s="40">
        <v>2021</v>
      </c>
      <c r="H44" s="41">
        <v>2022</v>
      </c>
      <c r="J44" s="9"/>
      <c r="K44" s="9"/>
      <c r="L44" s="9"/>
      <c r="M44" s="9"/>
      <c r="N44" s="9"/>
      <c r="O44" s="9"/>
    </row>
    <row r="45" spans="1:15" ht="15.75" thickBot="1" x14ac:dyDescent="0.3">
      <c r="B45" s="9">
        <v>9</v>
      </c>
      <c r="C45" s="18" t="s">
        <v>8</v>
      </c>
      <c r="D45" s="19">
        <f>D26/D24</f>
        <v>81.022343821249422</v>
      </c>
      <c r="E45" s="19">
        <f>E26/E24</f>
        <v>92.046024265516905</v>
      </c>
      <c r="F45" s="19">
        <f>F26/F24</f>
        <v>106.67211507028442</v>
      </c>
      <c r="G45" s="19">
        <f>G26/G24</f>
        <v>81.810919382817502</v>
      </c>
      <c r="H45" s="20">
        <f>H26/H24</f>
        <v>66.579804560260584</v>
      </c>
      <c r="J45" s="14" t="s">
        <v>13</v>
      </c>
      <c r="K45" s="38">
        <v>2018</v>
      </c>
      <c r="L45" s="39">
        <v>2019</v>
      </c>
      <c r="M45" s="40">
        <v>2020</v>
      </c>
      <c r="N45" s="40">
        <v>2021</v>
      </c>
      <c r="O45" s="41">
        <v>2022</v>
      </c>
    </row>
    <row r="46" spans="1:15" ht="15.75" thickBot="1" x14ac:dyDescent="0.3">
      <c r="B46" s="9">
        <v>10</v>
      </c>
      <c r="C46" s="21" t="s">
        <v>9</v>
      </c>
      <c r="D46" s="4">
        <f>D9/((D21))</f>
        <v>3.9969751966122202</v>
      </c>
      <c r="E46" s="4">
        <f>E9/((E21+D21)/2)</f>
        <v>3.5120218579234974</v>
      </c>
      <c r="F46" s="4">
        <f>F9/((F21+E21)/2)</f>
        <v>2.4538103406027933</v>
      </c>
      <c r="G46" s="4">
        <f>G9/((G21+F21)/2)</f>
        <v>3.7189510143493316</v>
      </c>
      <c r="H46" s="22">
        <f>H9/((H21+G21)/2)</f>
        <v>3.8542443064182192</v>
      </c>
      <c r="J46" s="95" t="s">
        <v>9</v>
      </c>
      <c r="K46" s="96">
        <f>K9/((K19))</f>
        <v>5.772776122476559</v>
      </c>
      <c r="L46" s="92">
        <f>L9/((L19+K19)/2)</f>
        <v>6.7599959615566254</v>
      </c>
      <c r="M46" s="92">
        <f>M9/((M19+L19)/2)</f>
        <v>4.7487000291193482</v>
      </c>
      <c r="N46" s="92">
        <f>N9/((N19+M19)/2)</f>
        <v>2.8804861185498245</v>
      </c>
      <c r="O46" s="93">
        <f>O9/((O19+N19)/2)</f>
        <v>2.7891981262055667</v>
      </c>
    </row>
    <row r="47" spans="1:15" x14ac:dyDescent="0.25">
      <c r="B47" s="9">
        <v>11</v>
      </c>
      <c r="C47" s="21" t="s">
        <v>10</v>
      </c>
      <c r="D47" s="4">
        <f>D27/D25</f>
        <v>391.29635235356443</v>
      </c>
      <c r="E47" s="4">
        <f>E27/E25</f>
        <v>404.07266220631703</v>
      </c>
      <c r="F47" s="4">
        <f>F27/F25</f>
        <v>427.47353704813258</v>
      </c>
      <c r="G47" s="4">
        <f>G27/G25</f>
        <v>354.89888238424692</v>
      </c>
      <c r="H47" s="22">
        <f>H27/H25</f>
        <v>347.19703480876666</v>
      </c>
      <c r="J47" s="9"/>
      <c r="K47" s="9"/>
      <c r="L47" s="9"/>
      <c r="M47" s="9"/>
      <c r="N47" s="9"/>
      <c r="O47" s="9"/>
    </row>
    <row r="48" spans="1:15" ht="15.75" thickBot="1" x14ac:dyDescent="0.3">
      <c r="B48" s="9">
        <v>12</v>
      </c>
      <c r="C48" s="21" t="s">
        <v>64</v>
      </c>
      <c r="D48" s="4">
        <f>((D21)/(D9))*365</f>
        <v>91.319055547146974</v>
      </c>
      <c r="E48" s="4">
        <f>(((E21+D21)/2)/(E9))*365</f>
        <v>103.92873813598879</v>
      </c>
      <c r="F48" s="4">
        <f>(((F21+E21)/2)/(F9))*365</f>
        <v>148.74825244657481</v>
      </c>
      <c r="G48" s="4">
        <f>(((G21+F21)/2)/(G9))*365</f>
        <v>98.145955295369887</v>
      </c>
      <c r="H48" s="22">
        <f>(((H21+G21)/2)/(H9))*365</f>
        <v>94.700795015040825</v>
      </c>
      <c r="J48" s="9"/>
      <c r="K48" s="9"/>
      <c r="L48" s="9"/>
      <c r="M48" s="9"/>
      <c r="N48" s="9"/>
      <c r="O48" s="9"/>
    </row>
    <row r="49" spans="1:35" ht="15.75" thickBot="1" x14ac:dyDescent="0.3">
      <c r="B49" s="9">
        <v>13</v>
      </c>
      <c r="C49" s="33" t="s">
        <v>63</v>
      </c>
      <c r="D49" s="24">
        <f>D48+D45-D47</f>
        <v>-218.95495298516803</v>
      </c>
      <c r="E49" s="24">
        <f>E48+E45-E47</f>
        <v>-208.09789980481133</v>
      </c>
      <c r="F49" s="24">
        <f t="shared" ref="F49:G49" si="6">F48+F45-F47</f>
        <v>-172.05316953127334</v>
      </c>
      <c r="G49" s="24">
        <f t="shared" si="6"/>
        <v>-174.94200770605954</v>
      </c>
      <c r="H49" s="25">
        <f>H48+H45-H47</f>
        <v>-185.91643523346525</v>
      </c>
      <c r="J49" s="14" t="s">
        <v>11</v>
      </c>
      <c r="K49" s="84">
        <v>2018</v>
      </c>
      <c r="L49" s="85">
        <v>2019</v>
      </c>
      <c r="M49" s="86">
        <v>2020</v>
      </c>
      <c r="N49" s="86">
        <v>2021</v>
      </c>
      <c r="O49" s="87">
        <v>2022</v>
      </c>
    </row>
    <row r="50" spans="1:35" ht="15.75" thickBot="1" x14ac:dyDescent="0.3">
      <c r="A50" s="16"/>
      <c r="B50" s="16"/>
      <c r="C50" s="16"/>
      <c r="D50" s="12"/>
      <c r="E50" s="12"/>
      <c r="F50" s="12"/>
      <c r="G50" s="12"/>
      <c r="H50" s="12"/>
      <c r="I50" s="16"/>
      <c r="J50" s="95" t="s">
        <v>67</v>
      </c>
      <c r="K50" s="94">
        <f>(K17/(K18+K17))*100</f>
        <v>71.105967997375956</v>
      </c>
      <c r="L50" s="92">
        <f>(L17/(L18+L17))*100</f>
        <v>70.486933026646284</v>
      </c>
      <c r="M50" s="92">
        <f>(M17/(M18+M17))*100</f>
        <v>60.066298935727616</v>
      </c>
      <c r="N50" s="92">
        <f>(N17/(N18+N17))*100</f>
        <v>44.976843605272535</v>
      </c>
      <c r="O50" s="93">
        <f>(O17/(O18+O17))*100</f>
        <v>57.662152530292232</v>
      </c>
    </row>
    <row r="51" spans="1:35" ht="15.75" thickBot="1" x14ac:dyDescent="0.3">
      <c r="C51" s="14" t="s">
        <v>11</v>
      </c>
      <c r="D51" s="35">
        <v>2018</v>
      </c>
      <c r="E51" s="36">
        <v>2019</v>
      </c>
      <c r="F51" s="36">
        <v>2020</v>
      </c>
      <c r="G51" s="36">
        <v>2021</v>
      </c>
      <c r="H51" s="37">
        <v>2022</v>
      </c>
      <c r="J51" s="9"/>
      <c r="K51" s="9"/>
      <c r="L51" s="9"/>
      <c r="M51" s="9"/>
      <c r="N51" s="9"/>
      <c r="O51" s="9"/>
      <c r="AH51" s="9"/>
      <c r="AI51" s="9"/>
    </row>
    <row r="52" spans="1:35" x14ac:dyDescent="0.25">
      <c r="B52" s="9">
        <v>14</v>
      </c>
      <c r="C52" s="18" t="s">
        <v>48</v>
      </c>
      <c r="D52" s="19">
        <f>(D17/(D19+D17))*100</f>
        <v>63.926794027933852</v>
      </c>
      <c r="E52" s="19">
        <f>(E17/(E19+E17))*100</f>
        <v>73.858256245902837</v>
      </c>
      <c r="F52" s="19">
        <f t="shared" ref="F52:H52" si="7">(F17/(F19+F17))*100</f>
        <v>59.521771960734974</v>
      </c>
      <c r="G52" s="19">
        <f t="shared" si="7"/>
        <v>65.911319878180976</v>
      </c>
      <c r="H52" s="20">
        <f t="shared" si="7"/>
        <v>62.543638479441434</v>
      </c>
      <c r="J52" s="9"/>
      <c r="K52" s="9"/>
      <c r="L52" s="9"/>
      <c r="M52" s="9"/>
      <c r="N52" s="9"/>
      <c r="O52" s="9"/>
      <c r="AH52" s="9"/>
      <c r="AI52" s="9"/>
    </row>
    <row r="53" spans="1:35" x14ac:dyDescent="0.25">
      <c r="B53" s="9">
        <v>15</v>
      </c>
      <c r="C53" s="21" t="s">
        <v>49</v>
      </c>
      <c r="D53" s="4">
        <f>((D18)/(D19))*100</f>
        <v>358.65598575878954</v>
      </c>
      <c r="E53" s="4">
        <f>((E18)/(E19))*100</f>
        <v>521.64948453608247</v>
      </c>
      <c r="F53" s="4">
        <f t="shared" ref="F53:G53" si="8">((F18)/(F19))*100</f>
        <v>247.56871035940802</v>
      </c>
      <c r="G53" s="4">
        <f t="shared" si="8"/>
        <v>330.42095699576015</v>
      </c>
      <c r="H53" s="22">
        <f>((H18)/(H19))*100</f>
        <v>301.85113268608416</v>
      </c>
      <c r="J53" s="9"/>
      <c r="K53" s="9"/>
      <c r="L53" s="9"/>
      <c r="M53" s="9"/>
      <c r="N53" s="9"/>
      <c r="O53" s="9"/>
      <c r="AH53" s="9"/>
      <c r="AI53" s="9"/>
    </row>
    <row r="54" spans="1:35" x14ac:dyDescent="0.25">
      <c r="B54" s="9">
        <v>16</v>
      </c>
      <c r="C54" s="21" t="s">
        <v>50</v>
      </c>
      <c r="D54" s="4">
        <f>(D20/D19)*100</f>
        <v>177.21406319537161</v>
      </c>
      <c r="E54" s="4">
        <f t="shared" ref="E54:G54" si="9">(E20/E19)*100</f>
        <v>282.52995263304547</v>
      </c>
      <c r="F54" s="4">
        <f>(F20/F19)*100</f>
        <v>147.04638726526554</v>
      </c>
      <c r="G54" s="4">
        <f t="shared" si="9"/>
        <v>193.35251362810419</v>
      </c>
      <c r="H54" s="22">
        <f>(H20/H19)*100</f>
        <v>166.97734627831719</v>
      </c>
      <c r="J54" s="9"/>
      <c r="K54" s="9"/>
      <c r="L54" s="9"/>
      <c r="M54" s="9"/>
      <c r="N54" s="9"/>
      <c r="O54" s="9"/>
      <c r="AH54" s="9"/>
      <c r="AI54" s="9"/>
    </row>
    <row r="55" spans="1:35" ht="15.75" thickBot="1" x14ac:dyDescent="0.3">
      <c r="B55" s="9">
        <v>17</v>
      </c>
      <c r="C55" s="23" t="s">
        <v>51</v>
      </c>
      <c r="D55" s="24">
        <f>(D11/D22)*100</f>
        <v>87.394957983193279</v>
      </c>
      <c r="E55" s="24">
        <f t="shared" ref="E55:H55" si="10">(E11/E22)*100</f>
        <v>-47.477360931435967</v>
      </c>
      <c r="F55" s="24">
        <f>(F11/F22)*100</f>
        <v>-307.23120837297807</v>
      </c>
      <c r="G55" s="24">
        <f t="shared" si="10"/>
        <v>-47.427154370737753</v>
      </c>
      <c r="H55" s="25">
        <f t="shared" si="10"/>
        <v>-78.821567537520849</v>
      </c>
      <c r="J55" s="9"/>
      <c r="K55" s="9"/>
      <c r="L55" s="9"/>
      <c r="M55" s="9"/>
      <c r="N55" s="9"/>
      <c r="O55" s="9"/>
      <c r="AH55" s="9"/>
      <c r="AI55" s="9"/>
    </row>
    <row r="56" spans="1:35" x14ac:dyDescent="0.25">
      <c r="C56" s="9"/>
      <c r="D56" s="11"/>
      <c r="E56" s="11"/>
      <c r="F56" s="11"/>
      <c r="G56" s="11"/>
      <c r="H56" s="11"/>
      <c r="J56" s="9"/>
      <c r="K56" s="9"/>
      <c r="L56" s="9"/>
      <c r="M56" s="9"/>
      <c r="N56" s="9"/>
      <c r="O56" s="9"/>
      <c r="AH56" s="9"/>
      <c r="AI56" s="9"/>
    </row>
    <row r="57" spans="1:35" ht="15.75" thickBot="1" x14ac:dyDescent="0.3">
      <c r="A57" s="16"/>
      <c r="B57" s="16"/>
      <c r="C57" s="16"/>
      <c r="D57" s="12"/>
      <c r="E57" s="12"/>
      <c r="F57" s="12"/>
      <c r="G57" s="12"/>
      <c r="H57" s="12"/>
      <c r="I57" s="16"/>
      <c r="J57" s="9"/>
      <c r="K57" s="9"/>
      <c r="L57" s="9"/>
      <c r="M57" s="9"/>
      <c r="N57" s="9"/>
      <c r="O57" s="9"/>
      <c r="AH57" s="9"/>
      <c r="AI57" s="9"/>
    </row>
    <row r="58" spans="1:35" ht="15.75" thickBot="1" x14ac:dyDescent="0.3">
      <c r="C58" s="14" t="s">
        <v>12</v>
      </c>
      <c r="D58" s="35">
        <v>2018</v>
      </c>
      <c r="E58" s="36">
        <v>2019</v>
      </c>
      <c r="F58" s="36">
        <v>2020</v>
      </c>
      <c r="G58" s="36">
        <v>2021</v>
      </c>
      <c r="H58" s="37">
        <v>2022</v>
      </c>
      <c r="J58" s="9"/>
      <c r="K58" s="9"/>
      <c r="L58" s="9"/>
      <c r="M58" s="9"/>
      <c r="N58" s="9"/>
      <c r="O58" s="9"/>
      <c r="AH58" s="9"/>
      <c r="AI58" s="9"/>
    </row>
    <row r="59" spans="1:35" x14ac:dyDescent="0.25">
      <c r="B59" s="9">
        <v>18</v>
      </c>
      <c r="C59" s="18" t="s">
        <v>23</v>
      </c>
      <c r="D59" s="8">
        <f>((D12-5.6)/D28)*100</f>
        <v>-31.024245423057895</v>
      </c>
      <c r="E59" s="8">
        <f>((E12-8.8)/E28)*100</f>
        <v>-49.649122807017541</v>
      </c>
      <c r="F59" s="8">
        <f>((F12-8.8)/F28)*100</f>
        <v>-543.13471502590676</v>
      </c>
      <c r="G59" s="8">
        <f>((G12-2.3)/G28)*100</f>
        <v>-165.88744588744589</v>
      </c>
      <c r="H59" s="34">
        <f>(((H12-0.9))/H28)*100</f>
        <v>-124.46432776077232</v>
      </c>
      <c r="J59" s="9"/>
      <c r="K59" s="9"/>
      <c r="L59" s="9"/>
      <c r="M59" s="9"/>
      <c r="N59" s="9"/>
      <c r="O59" s="9"/>
      <c r="AH59" s="9"/>
      <c r="AI59" s="9"/>
    </row>
    <row r="60" spans="1:35" x14ac:dyDescent="0.25">
      <c r="B60" s="9">
        <v>19</v>
      </c>
      <c r="C60" s="21" t="s">
        <v>52</v>
      </c>
      <c r="D60" s="6">
        <v>0</v>
      </c>
      <c r="E60" s="4">
        <v>0</v>
      </c>
      <c r="F60" s="4">
        <v>0</v>
      </c>
      <c r="G60" s="4">
        <v>0</v>
      </c>
      <c r="H60" s="22">
        <v>0</v>
      </c>
      <c r="J60" s="9"/>
      <c r="K60" s="9"/>
      <c r="L60" s="9"/>
      <c r="M60" s="9"/>
      <c r="N60" s="9"/>
      <c r="O60" s="9"/>
      <c r="AH60" s="9"/>
      <c r="AI60" s="9"/>
    </row>
    <row r="61" spans="1:35" s="9" customFormat="1" x14ac:dyDescent="0.25">
      <c r="B61" s="9">
        <v>20</v>
      </c>
      <c r="C61" s="21" t="s">
        <v>61</v>
      </c>
      <c r="D61" s="6">
        <f>G73/D59</f>
        <v>-253.22807671451355</v>
      </c>
      <c r="E61" s="4">
        <f>G72/E59</f>
        <v>-67.2199187279152</v>
      </c>
      <c r="F61" s="4">
        <f>G71/F59</f>
        <v>-3.6988981636060099</v>
      </c>
      <c r="G61" s="4">
        <f>G70/G59</f>
        <v>-8.1561325678496868</v>
      </c>
      <c r="H61" s="22">
        <f>G69/H59</f>
        <v>-1.2377040295119182</v>
      </c>
    </row>
    <row r="62" spans="1:35" s="9" customFormat="1" x14ac:dyDescent="0.25">
      <c r="B62" s="9">
        <v>21</v>
      </c>
      <c r="C62" s="21" t="s">
        <v>53</v>
      </c>
      <c r="D62" s="4">
        <v>0</v>
      </c>
      <c r="E62" s="4">
        <v>0</v>
      </c>
      <c r="F62" s="4">
        <v>0</v>
      </c>
      <c r="G62" s="4">
        <v>0</v>
      </c>
      <c r="H62" s="22">
        <v>0</v>
      </c>
    </row>
    <row r="63" spans="1:35" s="9" customFormat="1" ht="15.75" thickBot="1" x14ac:dyDescent="0.3">
      <c r="A63" s="10"/>
      <c r="B63" s="9">
        <v>22</v>
      </c>
      <c r="C63" s="23" t="s">
        <v>62</v>
      </c>
      <c r="D63" s="24">
        <f>(D12/((D14))*100)</f>
        <v>-12.705829995549623</v>
      </c>
      <c r="E63" s="24">
        <f>(E12/((E14+D14)/2))*100</f>
        <v>-25.831993071879257</v>
      </c>
      <c r="F63" s="24">
        <f t="shared" ref="F63" si="11">(F12/((F14+E14)/2))*100</f>
        <v>-70.5932932072227</v>
      </c>
      <c r="G63" s="24">
        <f>(G12/((G14+F14)/2))*100</f>
        <v>-25.851826561966547</v>
      </c>
      <c r="H63" s="25">
        <f>(H12/((H14+G14)/2))*100</f>
        <v>-73.654825877590895</v>
      </c>
    </row>
    <row r="64" spans="1:35" s="9" customFormat="1" x14ac:dyDescent="0.25"/>
    <row r="65" spans="3:35" x14ac:dyDescent="0.25">
      <c r="C65" s="9"/>
      <c r="D65" s="9"/>
      <c r="E65" s="9"/>
      <c r="F65" s="9"/>
      <c r="G65" s="9"/>
      <c r="H65" s="9"/>
      <c r="J65" s="73"/>
      <c r="K65" s="9"/>
      <c r="L65" s="9"/>
      <c r="M65" s="9"/>
      <c r="N65" s="9"/>
      <c r="O65" s="9"/>
      <c r="AH65" s="9"/>
      <c r="AI65" s="9"/>
    </row>
    <row r="66" spans="3:35" ht="15.75" thickBot="1" x14ac:dyDescent="0.3">
      <c r="C66" s="9"/>
      <c r="D66" s="9"/>
      <c r="E66" s="9"/>
      <c r="F66" s="9"/>
      <c r="G66" s="9"/>
      <c r="H66" s="9"/>
      <c r="J66" s="9"/>
      <c r="K66" s="9"/>
      <c r="L66" s="9"/>
      <c r="M66" s="9"/>
      <c r="N66" s="9"/>
      <c r="O66" s="9"/>
      <c r="AH66" s="9"/>
      <c r="AI66" s="9"/>
    </row>
    <row r="67" spans="3:35" ht="15.75" thickBot="1" x14ac:dyDescent="0.3">
      <c r="C67" s="53" t="s">
        <v>66</v>
      </c>
      <c r="D67" s="50"/>
      <c r="E67" s="50"/>
      <c r="F67" s="50"/>
      <c r="G67" s="50"/>
      <c r="H67" s="50"/>
      <c r="I67" s="51"/>
      <c r="J67" s="9"/>
      <c r="K67" s="9"/>
      <c r="L67" s="9"/>
      <c r="M67" s="9"/>
      <c r="N67" s="9"/>
      <c r="O67" s="9"/>
      <c r="AH67" s="9"/>
      <c r="AI67" s="9"/>
    </row>
    <row r="68" spans="3:35" ht="15.75" thickBot="1" x14ac:dyDescent="0.3">
      <c r="C68" s="56" t="s">
        <v>65</v>
      </c>
      <c r="D68" s="52" t="s">
        <v>54</v>
      </c>
      <c r="E68" s="54" t="s">
        <v>55</v>
      </c>
      <c r="F68" s="54" t="s">
        <v>56</v>
      </c>
      <c r="G68" s="54" t="s">
        <v>57</v>
      </c>
      <c r="H68" s="54" t="s">
        <v>58</v>
      </c>
      <c r="I68" s="55" t="s">
        <v>17</v>
      </c>
      <c r="J68" s="9"/>
      <c r="K68" s="9"/>
      <c r="L68" s="9"/>
      <c r="M68" s="9"/>
      <c r="N68" s="9"/>
      <c r="O68" s="9"/>
      <c r="AH68" s="9"/>
      <c r="AI68" s="9"/>
    </row>
    <row r="69" spans="3:35" x14ac:dyDescent="0.25">
      <c r="C69" s="57" t="s">
        <v>22</v>
      </c>
      <c r="D69" s="60">
        <v>162.5</v>
      </c>
      <c r="E69" s="61">
        <v>167.95</v>
      </c>
      <c r="F69" s="61">
        <v>152.65</v>
      </c>
      <c r="G69" s="61">
        <v>154.05000000000001</v>
      </c>
      <c r="H69" s="61">
        <v>154.05000000000001</v>
      </c>
      <c r="I69" s="62">
        <v>1099840</v>
      </c>
      <c r="J69" s="9"/>
      <c r="K69" s="9"/>
      <c r="L69" s="9"/>
      <c r="M69" s="9"/>
      <c r="N69" s="9"/>
      <c r="O69" s="9"/>
      <c r="AH69" s="9"/>
      <c r="AI69" s="9"/>
    </row>
    <row r="70" spans="3:35" x14ac:dyDescent="0.25">
      <c r="C70" s="58" t="s">
        <v>18</v>
      </c>
      <c r="D70" s="63">
        <v>1293</v>
      </c>
      <c r="E70" s="3">
        <v>1356.03</v>
      </c>
      <c r="F70" s="3">
        <v>1293</v>
      </c>
      <c r="G70" s="3">
        <v>1353</v>
      </c>
      <c r="H70" s="3">
        <v>1353</v>
      </c>
      <c r="I70" s="64">
        <v>426539</v>
      </c>
      <c r="J70" s="9"/>
      <c r="K70" s="9"/>
      <c r="L70" s="9"/>
      <c r="M70" s="9"/>
      <c r="N70" s="9"/>
      <c r="O70" s="9"/>
      <c r="AH70" s="9"/>
      <c r="AI70" s="9"/>
    </row>
    <row r="71" spans="3:35" x14ac:dyDescent="0.25">
      <c r="C71" s="58" t="s">
        <v>19</v>
      </c>
      <c r="D71" s="63">
        <v>2004</v>
      </c>
      <c r="E71" s="3">
        <v>2023</v>
      </c>
      <c r="F71" s="3">
        <v>1960</v>
      </c>
      <c r="G71" s="3">
        <v>2009</v>
      </c>
      <c r="H71" s="3">
        <v>2009</v>
      </c>
      <c r="I71" s="64">
        <v>381215</v>
      </c>
      <c r="J71" s="9"/>
      <c r="K71" s="9"/>
      <c r="L71" s="9"/>
      <c r="M71" s="9"/>
      <c r="N71" s="9"/>
      <c r="O71" s="9"/>
      <c r="AH71" s="9"/>
      <c r="AI71" s="9"/>
    </row>
    <row r="72" spans="3:35" s="9" customFormat="1" x14ac:dyDescent="0.25">
      <c r="C72" s="58" t="s">
        <v>20</v>
      </c>
      <c r="D72" s="63">
        <v>3338.7</v>
      </c>
      <c r="E72" s="3">
        <v>3397.77</v>
      </c>
      <c r="F72" s="3">
        <v>3302.74</v>
      </c>
      <c r="G72" s="3">
        <v>3337.41</v>
      </c>
      <c r="H72" s="3">
        <v>3337.41</v>
      </c>
      <c r="I72" s="64">
        <v>14344</v>
      </c>
    </row>
    <row r="73" spans="3:35" s="9" customFormat="1" ht="15.75" thickBot="1" x14ac:dyDescent="0.3">
      <c r="C73" s="59" t="s">
        <v>21</v>
      </c>
      <c r="D73" s="65">
        <v>7806.13</v>
      </c>
      <c r="E73" s="66">
        <v>7996.18</v>
      </c>
      <c r="F73" s="66">
        <v>7806.13</v>
      </c>
      <c r="G73" s="66">
        <v>7856.21</v>
      </c>
      <c r="H73" s="66">
        <v>7856.21</v>
      </c>
      <c r="I73" s="67">
        <v>16110</v>
      </c>
    </row>
    <row r="74" spans="3:35" s="9" customFormat="1" x14ac:dyDescent="0.25"/>
    <row r="75" spans="3:35" s="9" customFormat="1" x14ac:dyDescent="0.25"/>
    <row r="76" spans="3:35" s="9" customFormat="1" x14ac:dyDescent="0.25"/>
    <row r="77" spans="3:35" s="9" customFormat="1" x14ac:dyDescent="0.25"/>
    <row r="78" spans="3:35" s="9" customFormat="1" x14ac:dyDescent="0.25"/>
    <row r="79" spans="3:35" s="9" customFormat="1" x14ac:dyDescent="0.25"/>
    <row r="80" spans="3:35" x14ac:dyDescent="0.25">
      <c r="C80" s="9"/>
      <c r="D80" s="9"/>
      <c r="E80" s="9"/>
      <c r="F80" s="9"/>
      <c r="G80" s="9"/>
      <c r="H80" s="9"/>
      <c r="J80" s="9"/>
      <c r="K80" s="9"/>
      <c r="L80" s="9"/>
      <c r="M80" s="9"/>
      <c r="N80" s="9"/>
      <c r="O80" s="9"/>
      <c r="AH80" s="9"/>
      <c r="AI80" s="9"/>
    </row>
    <row r="81" spans="3:35" x14ac:dyDescent="0.25">
      <c r="C81" s="9"/>
      <c r="D81" s="9"/>
      <c r="E81" s="9"/>
      <c r="F81" s="9"/>
      <c r="G81" s="9"/>
      <c r="H81" s="9"/>
      <c r="J81" s="9"/>
      <c r="K81" s="9"/>
      <c r="L81" s="9"/>
      <c r="M81" s="9"/>
      <c r="N81" s="9"/>
      <c r="O81" s="9"/>
      <c r="AH81" s="9"/>
      <c r="AI81" s="9"/>
    </row>
    <row r="82" spans="3:35" x14ac:dyDescent="0.25">
      <c r="C82" s="9"/>
      <c r="D82" s="9"/>
      <c r="E82" s="9"/>
      <c r="F82" s="9"/>
      <c r="G82" s="9"/>
      <c r="H82" s="9"/>
      <c r="J82" s="9"/>
      <c r="K82" s="9"/>
      <c r="L82" s="9"/>
      <c r="M82" s="9"/>
      <c r="N82" s="9"/>
      <c r="O82" s="9"/>
      <c r="AH82" s="9"/>
      <c r="AI82" s="9"/>
    </row>
    <row r="83" spans="3:35" x14ac:dyDescent="0.25">
      <c r="C83" s="9"/>
      <c r="D83" s="9"/>
      <c r="E83" s="9"/>
      <c r="F83" s="9"/>
      <c r="G83" s="9"/>
      <c r="H83" s="9"/>
      <c r="J83" s="9"/>
      <c r="K83" s="9"/>
      <c r="L83" s="9"/>
      <c r="M83" s="9"/>
      <c r="N83" s="9"/>
      <c r="O83" s="9"/>
      <c r="AH83" s="9"/>
      <c r="AI83" s="9"/>
    </row>
    <row r="84" spans="3:35" x14ac:dyDescent="0.25">
      <c r="C84" s="9"/>
      <c r="D84" s="9"/>
      <c r="E84" s="9"/>
      <c r="F84" s="9"/>
      <c r="G84" s="9"/>
      <c r="H84" s="9"/>
      <c r="J84" s="9"/>
      <c r="K84" s="9"/>
      <c r="L84" s="9"/>
      <c r="M84" s="9"/>
      <c r="N84" s="9"/>
      <c r="O84" s="9"/>
      <c r="AH84" s="9"/>
      <c r="AI84" s="9"/>
    </row>
    <row r="85" spans="3:35" x14ac:dyDescent="0.25">
      <c r="C85" s="9"/>
      <c r="D85" s="9"/>
      <c r="E85" s="9"/>
      <c r="F85" s="9"/>
      <c r="G85" s="9"/>
      <c r="H85" s="9"/>
      <c r="J85" s="9"/>
      <c r="K85" s="9"/>
      <c r="L85" s="9"/>
      <c r="M85" s="9"/>
      <c r="N85" s="9"/>
      <c r="O85" s="9"/>
      <c r="AH85" s="9"/>
      <c r="AI85" s="9"/>
    </row>
    <row r="86" spans="3:35" x14ac:dyDescent="0.25">
      <c r="C86" s="9"/>
      <c r="D86" s="9"/>
      <c r="E86" s="9"/>
      <c r="F86" s="9"/>
      <c r="G86" s="9"/>
      <c r="H86" s="9"/>
      <c r="J86" s="9"/>
      <c r="K86" s="9"/>
      <c r="L86" s="9"/>
      <c r="M86" s="9"/>
      <c r="N86" s="9"/>
      <c r="O86" s="9"/>
      <c r="AH86" s="9"/>
      <c r="AI86" s="9"/>
    </row>
    <row r="87" spans="3:35" x14ac:dyDescent="0.25">
      <c r="C87" s="9"/>
      <c r="D87" s="9"/>
      <c r="E87" s="9"/>
      <c r="F87" s="9"/>
      <c r="G87" s="9"/>
      <c r="H87" s="9"/>
      <c r="J87" s="9"/>
      <c r="K87" s="9"/>
      <c r="L87" s="9"/>
      <c r="M87" s="9"/>
      <c r="N87" s="9"/>
      <c r="O87" s="9"/>
      <c r="AH87" s="9"/>
      <c r="AI87" s="9"/>
    </row>
    <row r="88" spans="3:35" x14ac:dyDescent="0.25">
      <c r="C88" s="9"/>
      <c r="D88" s="9"/>
      <c r="E88" s="9"/>
      <c r="F88" s="9"/>
      <c r="G88" s="9"/>
      <c r="H88" s="9"/>
      <c r="J88" s="9"/>
      <c r="K88" s="9"/>
      <c r="L88" s="9"/>
      <c r="M88" s="9"/>
      <c r="N88" s="9"/>
      <c r="O88" s="9"/>
      <c r="AH88" s="9"/>
      <c r="AI88" s="9"/>
    </row>
    <row r="89" spans="3:35" x14ac:dyDescent="0.25">
      <c r="C89" s="9"/>
      <c r="D89" s="9"/>
      <c r="E89" s="9"/>
      <c r="F89" s="9"/>
      <c r="G89" s="9"/>
      <c r="H89" s="9"/>
      <c r="J89" s="9"/>
      <c r="K89" s="9"/>
      <c r="L89" s="9"/>
      <c r="M89" s="9"/>
      <c r="N89" s="9"/>
      <c r="O89" s="9"/>
      <c r="AH89" s="9"/>
      <c r="AI89" s="9"/>
    </row>
    <row r="90" spans="3:35" x14ac:dyDescent="0.25">
      <c r="C90" s="9"/>
      <c r="D90" s="9"/>
      <c r="E90" s="9"/>
      <c r="F90" s="9"/>
      <c r="G90" s="9"/>
      <c r="H90" s="9"/>
      <c r="J90" s="9"/>
      <c r="K90" s="9"/>
      <c r="L90" s="9"/>
      <c r="M90" s="9"/>
      <c r="N90" s="9"/>
      <c r="O90" s="9"/>
      <c r="AH90" s="9"/>
      <c r="AI90" s="9"/>
    </row>
    <row r="91" spans="3:35" x14ac:dyDescent="0.25">
      <c r="C91" s="9"/>
      <c r="D91" s="9"/>
      <c r="E91" s="9"/>
      <c r="F91" s="9"/>
      <c r="G91" s="9"/>
      <c r="H91" s="9"/>
      <c r="J91" s="9"/>
      <c r="K91" s="9"/>
      <c r="L91" s="9"/>
      <c r="M91" s="9"/>
      <c r="N91" s="9"/>
      <c r="O91" s="9"/>
      <c r="AH91" s="9"/>
      <c r="AI91" s="9"/>
    </row>
    <row r="92" spans="3:35" x14ac:dyDescent="0.25">
      <c r="C92" s="9"/>
      <c r="D92" s="9"/>
      <c r="E92" s="9"/>
      <c r="F92" s="9"/>
      <c r="G92" s="9"/>
      <c r="H92" s="9"/>
      <c r="J92" s="9"/>
      <c r="K92" s="9"/>
      <c r="L92" s="9"/>
      <c r="M92" s="9"/>
      <c r="N92" s="9"/>
      <c r="O92" s="9"/>
      <c r="AH92" s="9"/>
      <c r="AI92" s="9"/>
    </row>
    <row r="93" spans="3:35" x14ac:dyDescent="0.25">
      <c r="C93" s="9"/>
      <c r="D93" s="9"/>
      <c r="E93" s="9"/>
      <c r="F93" s="9"/>
      <c r="G93" s="9"/>
      <c r="H93" s="9"/>
      <c r="J93" s="9"/>
      <c r="K93" s="9"/>
      <c r="L93" s="9"/>
      <c r="M93" s="9"/>
      <c r="N93" s="9"/>
      <c r="O93" s="9"/>
      <c r="AH93" s="9"/>
      <c r="AI93" s="9"/>
    </row>
    <row r="94" spans="3:35" x14ac:dyDescent="0.25">
      <c r="C94" s="9"/>
      <c r="D94" s="9"/>
      <c r="E94" s="9"/>
      <c r="F94" s="9"/>
      <c r="G94" s="9"/>
      <c r="H94" s="9"/>
      <c r="J94" s="9"/>
      <c r="K94" s="9"/>
      <c r="L94" s="9"/>
      <c r="M94" s="9"/>
      <c r="N94" s="9"/>
      <c r="O94" s="9"/>
      <c r="AH94" s="9"/>
      <c r="AI94" s="9"/>
    </row>
    <row r="95" spans="3:35" x14ac:dyDescent="0.25">
      <c r="C95" s="9"/>
      <c r="D95" s="9"/>
      <c r="E95" s="9"/>
      <c r="F95" s="9"/>
      <c r="G95" s="9"/>
      <c r="H95" s="9"/>
      <c r="J95" s="9"/>
      <c r="K95" s="9"/>
      <c r="L95" s="9"/>
      <c r="M95" s="9"/>
      <c r="N95" s="9"/>
      <c r="O95" s="9"/>
      <c r="AH95" s="9"/>
      <c r="AI95" s="9"/>
    </row>
    <row r="96" spans="3:35" x14ac:dyDescent="0.25">
      <c r="C96" s="9"/>
      <c r="D96" s="9"/>
      <c r="E96" s="9"/>
      <c r="F96" s="9"/>
      <c r="G96" s="9"/>
      <c r="H96" s="9"/>
      <c r="J96" s="9"/>
      <c r="K96" s="9"/>
      <c r="L96" s="9"/>
      <c r="M96" s="9"/>
      <c r="N96" s="9"/>
      <c r="O96" s="9"/>
      <c r="AH96" s="9"/>
      <c r="AI96" s="9"/>
    </row>
    <row r="97" spans="3:35" x14ac:dyDescent="0.25">
      <c r="C97" s="9"/>
      <c r="D97" s="9"/>
      <c r="E97" s="9"/>
      <c r="F97" s="9"/>
      <c r="G97" s="9"/>
      <c r="H97" s="9"/>
      <c r="J97" s="9"/>
      <c r="K97" s="9"/>
      <c r="L97" s="9"/>
      <c r="M97" s="9"/>
      <c r="N97" s="9"/>
      <c r="O97" s="9"/>
      <c r="AH97" s="9"/>
      <c r="AI97" s="9"/>
    </row>
    <row r="98" spans="3:35" x14ac:dyDescent="0.25">
      <c r="C98" s="9"/>
      <c r="D98" s="9"/>
      <c r="E98" s="9"/>
      <c r="F98" s="9"/>
      <c r="G98" s="9"/>
      <c r="H98" s="9"/>
      <c r="J98" s="9"/>
      <c r="K98" s="9"/>
      <c r="L98" s="9"/>
      <c r="M98" s="9"/>
      <c r="N98" s="9"/>
      <c r="O98" s="9"/>
      <c r="AH98" s="9"/>
      <c r="AI98" s="9"/>
    </row>
    <row r="99" spans="3:35" x14ac:dyDescent="0.25">
      <c r="C99" s="9"/>
      <c r="D99" s="9"/>
      <c r="E99" s="9"/>
      <c r="F99" s="9"/>
      <c r="G99" s="9"/>
      <c r="H99" s="9"/>
      <c r="J99" s="9"/>
      <c r="K99" s="9"/>
      <c r="L99" s="9"/>
      <c r="M99" s="9"/>
      <c r="N99" s="9"/>
      <c r="O99" s="9"/>
      <c r="AH99" s="9"/>
      <c r="AI99" s="9"/>
    </row>
    <row r="100" spans="3:35" x14ac:dyDescent="0.25">
      <c r="C100" s="9"/>
      <c r="D100" s="9"/>
      <c r="E100" s="9"/>
      <c r="F100" s="9"/>
      <c r="G100" s="9"/>
      <c r="H100" s="9"/>
      <c r="J100" s="9"/>
      <c r="K100" s="9"/>
      <c r="L100" s="9"/>
      <c r="M100" s="9"/>
      <c r="N100" s="9"/>
      <c r="O100" s="9"/>
      <c r="AH100" s="9"/>
      <c r="AI100" s="9"/>
    </row>
    <row r="101" spans="3:35" x14ac:dyDescent="0.25">
      <c r="C101" s="9"/>
      <c r="D101" s="9"/>
      <c r="E101" s="9"/>
      <c r="F101" s="9"/>
      <c r="G101" s="9"/>
      <c r="H101" s="9"/>
      <c r="J101" s="9"/>
      <c r="K101" s="9"/>
      <c r="L101" s="9"/>
      <c r="M101" s="9"/>
      <c r="N101" s="9"/>
      <c r="O101" s="9"/>
      <c r="AH101" s="9"/>
      <c r="AI101" s="9"/>
    </row>
    <row r="102" spans="3:35" x14ac:dyDescent="0.25">
      <c r="C102" s="9"/>
      <c r="D102" s="9"/>
      <c r="E102" s="9"/>
      <c r="F102" s="9"/>
      <c r="G102" s="9"/>
      <c r="H102" s="9"/>
      <c r="J102" s="9"/>
      <c r="K102" s="9"/>
      <c r="L102" s="9"/>
      <c r="M102" s="9"/>
      <c r="N102" s="9"/>
      <c r="O102" s="9"/>
      <c r="AH102" s="9"/>
      <c r="AI102" s="9"/>
    </row>
    <row r="103" spans="3:35" x14ac:dyDescent="0.25">
      <c r="C103" s="9"/>
      <c r="D103" s="9"/>
      <c r="E103" s="9"/>
      <c r="F103" s="9"/>
      <c r="G103" s="9"/>
      <c r="H103" s="9"/>
      <c r="J103" s="9"/>
      <c r="K103" s="9"/>
      <c r="L103" s="9"/>
      <c r="M103" s="9"/>
      <c r="N103" s="9"/>
      <c r="O103" s="9"/>
      <c r="AH103" s="9"/>
      <c r="AI103" s="9"/>
    </row>
    <row r="104" spans="3:35" x14ac:dyDescent="0.25">
      <c r="C104" s="9"/>
      <c r="D104" s="9"/>
      <c r="E104" s="9"/>
      <c r="F104" s="9"/>
      <c r="G104" s="9"/>
      <c r="H104" s="9"/>
      <c r="J104" s="9"/>
      <c r="K104" s="9"/>
      <c r="L104" s="9"/>
      <c r="M104" s="9"/>
      <c r="N104" s="9"/>
      <c r="O104" s="9"/>
      <c r="AH104" s="9"/>
      <c r="AI104" s="9"/>
    </row>
    <row r="105" spans="3:35" x14ac:dyDescent="0.25">
      <c r="C105" s="9"/>
      <c r="D105" s="9"/>
      <c r="E105" s="9"/>
      <c r="F105" s="9"/>
      <c r="G105" s="9"/>
      <c r="H105" s="9"/>
      <c r="J105" s="9"/>
      <c r="K105" s="9"/>
      <c r="L105" s="9"/>
      <c r="M105" s="9"/>
      <c r="N105" s="9"/>
      <c r="O105" s="9"/>
      <c r="AH105" s="9"/>
      <c r="AI105" s="9"/>
    </row>
    <row r="106" spans="3:35" x14ac:dyDescent="0.25">
      <c r="C106" s="9"/>
      <c r="D106" s="9"/>
      <c r="E106" s="9"/>
      <c r="F106" s="9"/>
      <c r="G106" s="9"/>
      <c r="H106" s="9"/>
      <c r="J106" s="9"/>
      <c r="K106" s="9"/>
      <c r="L106" s="9"/>
      <c r="M106" s="9"/>
      <c r="N106" s="9"/>
      <c r="O106" s="9"/>
      <c r="AH106" s="9"/>
      <c r="AI106" s="9"/>
    </row>
    <row r="107" spans="3:35" x14ac:dyDescent="0.25">
      <c r="C107" s="9"/>
      <c r="D107" s="9"/>
      <c r="E107" s="9"/>
      <c r="F107" s="9"/>
      <c r="G107" s="9"/>
      <c r="H107" s="9"/>
      <c r="J107" s="9"/>
      <c r="K107" s="9"/>
      <c r="L107" s="9"/>
      <c r="M107" s="9"/>
      <c r="N107" s="9"/>
      <c r="O107" s="9"/>
      <c r="AH107" s="9"/>
      <c r="AI107" s="9"/>
    </row>
    <row r="108" spans="3:35" x14ac:dyDescent="0.25">
      <c r="C108" s="9"/>
      <c r="D108" s="9"/>
      <c r="E108" s="9"/>
      <c r="F108" s="9"/>
      <c r="G108" s="9"/>
      <c r="H108" s="9"/>
      <c r="J108" s="9"/>
      <c r="K108" s="9"/>
      <c r="L108" s="9"/>
      <c r="M108" s="9"/>
      <c r="N108" s="9"/>
      <c r="O108" s="9"/>
      <c r="AH108" s="9"/>
      <c r="AI108" s="9"/>
    </row>
    <row r="109" spans="3:35" x14ac:dyDescent="0.25">
      <c r="C109" s="9"/>
      <c r="D109" s="9"/>
      <c r="E109" s="9"/>
      <c r="F109" s="9"/>
      <c r="G109" s="9"/>
      <c r="H109" s="9"/>
      <c r="J109" s="9"/>
      <c r="K109" s="9"/>
      <c r="L109" s="9"/>
      <c r="M109" s="9"/>
      <c r="N109" s="9"/>
      <c r="O109" s="9"/>
      <c r="AH109" s="9"/>
      <c r="AI109" s="9"/>
    </row>
    <row r="110" spans="3:35" x14ac:dyDescent="0.25">
      <c r="C110" s="9"/>
      <c r="D110" s="9"/>
      <c r="E110" s="9"/>
      <c r="F110" s="9"/>
      <c r="G110" s="9"/>
      <c r="H110" s="9"/>
      <c r="J110" s="9"/>
      <c r="K110" s="9"/>
      <c r="L110" s="9"/>
      <c r="M110" s="9"/>
      <c r="N110" s="9"/>
      <c r="O110" s="9"/>
      <c r="AH110" s="9"/>
      <c r="AI110" s="9"/>
    </row>
    <row r="111" spans="3:35" x14ac:dyDescent="0.25">
      <c r="C111" s="9"/>
      <c r="D111" s="9"/>
      <c r="E111" s="9"/>
      <c r="F111" s="9"/>
      <c r="G111" s="9"/>
      <c r="H111" s="9"/>
      <c r="J111" s="9"/>
      <c r="K111" s="9"/>
      <c r="L111" s="9"/>
      <c r="M111" s="9"/>
      <c r="N111" s="9"/>
      <c r="O111" s="9"/>
      <c r="AH111" s="9"/>
      <c r="AI111" s="9"/>
    </row>
    <row r="112" spans="3:35" x14ac:dyDescent="0.25">
      <c r="C112" s="9"/>
      <c r="D112" s="9"/>
      <c r="E112" s="9"/>
      <c r="F112" s="9"/>
      <c r="G112" s="9"/>
      <c r="H112" s="9"/>
      <c r="J112" s="9"/>
      <c r="K112" s="9"/>
      <c r="L112" s="9"/>
      <c r="M112" s="9"/>
      <c r="N112" s="9"/>
      <c r="O112" s="9"/>
      <c r="AH112" s="9"/>
      <c r="AI112" s="9"/>
    </row>
    <row r="113" spans="3:35" x14ac:dyDescent="0.25">
      <c r="C113" s="9"/>
      <c r="D113" s="9"/>
      <c r="E113" s="9"/>
      <c r="F113" s="9"/>
      <c r="G113" s="9"/>
      <c r="H113" s="9"/>
      <c r="J113" s="9"/>
      <c r="K113" s="9"/>
      <c r="L113" s="9"/>
      <c r="M113" s="9"/>
      <c r="N113" s="9"/>
      <c r="O113" s="9"/>
      <c r="AH113" s="9"/>
      <c r="AI113" s="9"/>
    </row>
    <row r="114" spans="3:35" x14ac:dyDescent="0.25">
      <c r="C114" s="9"/>
      <c r="D114" s="9"/>
      <c r="E114" s="9"/>
      <c r="F114" s="9"/>
      <c r="G114" s="9"/>
      <c r="H114" s="9"/>
      <c r="J114" s="9"/>
      <c r="K114" s="9"/>
      <c r="L114" s="9"/>
      <c r="M114" s="9"/>
      <c r="N114" s="9"/>
      <c r="O114" s="9"/>
      <c r="AH114" s="9"/>
      <c r="AI114" s="9"/>
    </row>
    <row r="115" spans="3:35" x14ac:dyDescent="0.25">
      <c r="C115" s="9"/>
      <c r="D115" s="9"/>
      <c r="E115" s="9"/>
      <c r="F115" s="9"/>
      <c r="G115" s="9"/>
      <c r="H115" s="9"/>
      <c r="J115" s="9"/>
      <c r="K115" s="9"/>
      <c r="L115" s="9"/>
      <c r="M115" s="9"/>
      <c r="N115" s="9"/>
      <c r="O115" s="9"/>
      <c r="AH115" s="9"/>
      <c r="AI115" s="9"/>
    </row>
    <row r="116" spans="3:35" x14ac:dyDescent="0.25">
      <c r="C116" s="9"/>
      <c r="D116" s="9"/>
      <c r="E116" s="9"/>
      <c r="F116" s="9"/>
      <c r="G116" s="9"/>
      <c r="H116" s="9"/>
      <c r="J116" s="9"/>
      <c r="K116" s="9"/>
      <c r="L116" s="9"/>
      <c r="M116" s="9"/>
      <c r="N116" s="9"/>
      <c r="O116" s="9"/>
      <c r="AH116" s="9"/>
      <c r="AI116" s="9"/>
    </row>
    <row r="117" spans="3:35" x14ac:dyDescent="0.25">
      <c r="C117" s="9"/>
      <c r="D117" s="9"/>
      <c r="E117" s="9"/>
      <c r="F117" s="9"/>
      <c r="G117" s="9"/>
      <c r="H117" s="9"/>
      <c r="J117" s="9"/>
      <c r="K117" s="9"/>
      <c r="L117" s="9"/>
      <c r="M117" s="9"/>
      <c r="N117" s="9"/>
      <c r="O117" s="9"/>
      <c r="AH117" s="9"/>
      <c r="AI117" s="9"/>
    </row>
    <row r="118" spans="3:35" x14ac:dyDescent="0.25">
      <c r="C118" s="9"/>
      <c r="D118" s="9"/>
      <c r="E118" s="9"/>
      <c r="F118" s="9"/>
      <c r="G118" s="9"/>
      <c r="H118" s="9"/>
      <c r="J118" s="9"/>
      <c r="K118" s="9"/>
      <c r="L118" s="9"/>
      <c r="M118" s="9"/>
      <c r="N118" s="9"/>
      <c r="O118" s="9"/>
      <c r="AH118" s="9"/>
      <c r="AI118" s="9"/>
    </row>
    <row r="119" spans="3:35" x14ac:dyDescent="0.25">
      <c r="C119" s="9"/>
      <c r="D119" s="9"/>
      <c r="E119" s="9"/>
      <c r="F119" s="9"/>
      <c r="G119" s="9"/>
      <c r="H119" s="9"/>
      <c r="J119" s="9"/>
      <c r="K119" s="9"/>
      <c r="L119" s="9"/>
      <c r="M119" s="9"/>
      <c r="N119" s="9"/>
      <c r="O119" s="9"/>
      <c r="AH119" s="9"/>
      <c r="AI119" s="9"/>
    </row>
    <row r="120" spans="3:35" x14ac:dyDescent="0.25">
      <c r="C120" s="9"/>
      <c r="D120" s="9"/>
      <c r="E120" s="9"/>
      <c r="F120" s="9"/>
      <c r="G120" s="9"/>
      <c r="H120" s="9"/>
      <c r="J120" s="9"/>
      <c r="K120" s="9"/>
      <c r="L120" s="9"/>
      <c r="M120" s="9"/>
      <c r="N120" s="9"/>
      <c r="O120" s="9"/>
      <c r="AH120" s="9"/>
      <c r="AI120" s="9"/>
    </row>
    <row r="121" spans="3:35" x14ac:dyDescent="0.25">
      <c r="C121" s="9"/>
      <c r="D121" s="9"/>
      <c r="E121" s="9"/>
      <c r="F121" s="9"/>
      <c r="G121" s="9"/>
      <c r="H121" s="9"/>
      <c r="J121" s="9"/>
      <c r="K121" s="9"/>
      <c r="L121" s="9"/>
      <c r="M121" s="9"/>
      <c r="N121" s="9"/>
      <c r="O121" s="9"/>
      <c r="AH121" s="9"/>
      <c r="AI121" s="9"/>
    </row>
    <row r="122" spans="3:35" x14ac:dyDescent="0.25">
      <c r="C122" s="9"/>
      <c r="D122" s="9"/>
      <c r="E122" s="9"/>
      <c r="F122" s="9"/>
      <c r="G122" s="9"/>
      <c r="H122" s="9"/>
      <c r="J122" s="9"/>
      <c r="K122" s="9"/>
      <c r="L122" s="9"/>
      <c r="M122" s="9"/>
      <c r="N122" s="9"/>
      <c r="O122" s="9"/>
      <c r="AH122" s="9"/>
      <c r="AI122" s="9"/>
    </row>
    <row r="123" spans="3:35" x14ac:dyDescent="0.25">
      <c r="C123" s="9"/>
      <c r="D123" s="9"/>
      <c r="E123" s="9"/>
      <c r="F123" s="9"/>
      <c r="G123" s="9"/>
      <c r="H123" s="9"/>
      <c r="J123" s="9"/>
      <c r="K123" s="9"/>
      <c r="L123" s="9"/>
      <c r="M123" s="9"/>
      <c r="N123" s="9"/>
      <c r="O123" s="9"/>
      <c r="AH123" s="9"/>
      <c r="AI123" s="9"/>
    </row>
    <row r="124" spans="3:35" x14ac:dyDescent="0.25">
      <c r="C124" s="9"/>
      <c r="D124" s="9"/>
      <c r="E124" s="9"/>
      <c r="F124" s="9"/>
      <c r="G124" s="9"/>
      <c r="H124" s="9"/>
      <c r="J124" s="9"/>
      <c r="K124" s="9"/>
      <c r="L124" s="9"/>
      <c r="M124" s="9"/>
      <c r="N124" s="9"/>
      <c r="O124" s="9"/>
      <c r="AH124" s="9"/>
      <c r="AI124" s="9"/>
    </row>
    <row r="125" spans="3:35" x14ac:dyDescent="0.25">
      <c r="C125" s="9"/>
      <c r="D125" s="9"/>
      <c r="E125" s="9"/>
      <c r="F125" s="9"/>
      <c r="G125" s="9"/>
      <c r="H125" s="9"/>
      <c r="J125" s="9"/>
      <c r="K125" s="9"/>
      <c r="L125" s="9"/>
      <c r="M125" s="9"/>
      <c r="N125" s="9"/>
      <c r="O125" s="9"/>
      <c r="AH125" s="9"/>
      <c r="AI125" s="9"/>
    </row>
    <row r="126" spans="3:35" x14ac:dyDescent="0.25">
      <c r="C126" s="9"/>
      <c r="D126" s="9"/>
      <c r="E126" s="9"/>
      <c r="F126" s="9"/>
      <c r="G126" s="9"/>
      <c r="H126" s="9"/>
      <c r="J126" s="9"/>
      <c r="K126" s="9"/>
      <c r="L126" s="9"/>
      <c r="M126" s="9"/>
      <c r="N126" s="9"/>
      <c r="O126" s="9"/>
      <c r="AH126" s="9"/>
      <c r="AI126" s="9"/>
    </row>
    <row r="127" spans="3:35" x14ac:dyDescent="0.25">
      <c r="C127" s="9"/>
      <c r="D127" s="9"/>
      <c r="E127" s="9"/>
      <c r="F127" s="9"/>
      <c r="G127" s="9"/>
      <c r="H127" s="9"/>
      <c r="J127" s="9"/>
      <c r="K127" s="9"/>
      <c r="L127" s="9"/>
      <c r="M127" s="9"/>
      <c r="N127" s="9"/>
      <c r="O127" s="9"/>
      <c r="AH127" s="9"/>
      <c r="AI127" s="9"/>
    </row>
    <row r="128" spans="3:35" x14ac:dyDescent="0.25">
      <c r="C128" s="9"/>
      <c r="D128" s="9"/>
      <c r="E128" s="9"/>
      <c r="F128" s="9"/>
      <c r="G128" s="9"/>
      <c r="H128" s="9"/>
      <c r="J128" s="9"/>
      <c r="K128" s="9"/>
      <c r="L128" s="9"/>
      <c r="M128" s="9"/>
      <c r="N128" s="9"/>
      <c r="O128" s="9"/>
      <c r="AH128" s="9"/>
      <c r="AI128" s="9"/>
    </row>
    <row r="129" spans="3:35" x14ac:dyDescent="0.25">
      <c r="C129" s="9"/>
      <c r="D129" s="9"/>
      <c r="E129" s="9"/>
      <c r="F129" s="9"/>
      <c r="G129" s="9"/>
      <c r="H129" s="9"/>
      <c r="J129" s="9"/>
      <c r="K129" s="9"/>
      <c r="L129" s="9"/>
      <c r="M129" s="9"/>
      <c r="N129" s="9"/>
      <c r="O129" s="9"/>
      <c r="AH129" s="9"/>
      <c r="AI129" s="9"/>
    </row>
    <row r="130" spans="3:35" x14ac:dyDescent="0.25">
      <c r="C130" s="9"/>
      <c r="D130" s="9"/>
      <c r="E130" s="9"/>
      <c r="F130" s="9"/>
      <c r="G130" s="9"/>
      <c r="H130" s="9"/>
      <c r="J130" s="9"/>
      <c r="K130" s="9"/>
      <c r="L130" s="9"/>
      <c r="M130" s="9"/>
      <c r="N130" s="9"/>
      <c r="O130" s="9"/>
      <c r="AH130" s="9"/>
      <c r="AI130" s="9"/>
    </row>
    <row r="131" spans="3:35" x14ac:dyDescent="0.25">
      <c r="C131" s="9"/>
      <c r="D131" s="9"/>
      <c r="E131" s="9"/>
      <c r="F131" s="9"/>
      <c r="G131" s="9"/>
      <c r="H131" s="9"/>
      <c r="J131" s="9"/>
      <c r="K131" s="9"/>
      <c r="L131" s="9"/>
      <c r="M131" s="9"/>
      <c r="N131" s="9"/>
      <c r="O131" s="9"/>
      <c r="AH131" s="9"/>
      <c r="AI131" s="9"/>
    </row>
    <row r="132" spans="3:35" x14ac:dyDescent="0.25">
      <c r="C132" s="9"/>
      <c r="D132" s="9"/>
      <c r="E132" s="9"/>
      <c r="F132" s="9"/>
      <c r="G132" s="9"/>
      <c r="H132" s="9"/>
      <c r="J132" s="9"/>
      <c r="K132" s="9"/>
      <c r="L132" s="9"/>
      <c r="M132" s="9"/>
      <c r="N132" s="9"/>
      <c r="O132" s="9"/>
      <c r="AH132" s="9"/>
      <c r="AI132" s="9"/>
    </row>
    <row r="133" spans="3:35" x14ac:dyDescent="0.25">
      <c r="C133" s="9"/>
      <c r="D133" s="9"/>
      <c r="E133" s="9"/>
      <c r="F133" s="9"/>
      <c r="G133" s="9"/>
      <c r="H133" s="9"/>
      <c r="J133" s="9"/>
      <c r="K133" s="9"/>
      <c r="L133" s="9"/>
      <c r="M133" s="9"/>
      <c r="N133" s="9"/>
      <c r="O133" s="9"/>
      <c r="AH133" s="9"/>
      <c r="AI133" s="9"/>
    </row>
    <row r="134" spans="3:35" x14ac:dyDescent="0.25">
      <c r="C134" s="9"/>
      <c r="D134" s="9"/>
      <c r="E134" s="9"/>
      <c r="F134" s="9"/>
      <c r="G134" s="9"/>
      <c r="H134" s="9"/>
      <c r="J134" s="9"/>
      <c r="K134" s="9"/>
      <c r="L134" s="9"/>
      <c r="M134" s="9"/>
      <c r="N134" s="9"/>
      <c r="O134" s="9"/>
      <c r="AH134" s="9"/>
      <c r="AI134" s="9"/>
    </row>
    <row r="135" spans="3:35" x14ac:dyDescent="0.25">
      <c r="C135" s="9"/>
      <c r="D135" s="9"/>
      <c r="E135" s="9"/>
      <c r="F135" s="9"/>
      <c r="G135" s="9"/>
      <c r="H135" s="9"/>
      <c r="J135" s="9"/>
      <c r="K135" s="9"/>
      <c r="L135" s="9"/>
      <c r="M135" s="9"/>
      <c r="N135" s="9"/>
      <c r="O135" s="9"/>
      <c r="AH135" s="9"/>
      <c r="AI135" s="9"/>
    </row>
    <row r="136" spans="3:35" x14ac:dyDescent="0.25">
      <c r="C136" s="9"/>
      <c r="D136" s="9"/>
      <c r="E136" s="9"/>
      <c r="F136" s="9"/>
      <c r="G136" s="9"/>
      <c r="H136" s="9"/>
      <c r="J136" s="9"/>
      <c r="K136" s="9"/>
      <c r="L136" s="9"/>
      <c r="M136" s="9"/>
      <c r="N136" s="9"/>
      <c r="O136" s="9"/>
      <c r="AH136" s="9"/>
      <c r="AI136" s="9"/>
    </row>
    <row r="137" spans="3:35" x14ac:dyDescent="0.25">
      <c r="C137" s="9"/>
      <c r="D137" s="9"/>
      <c r="E137" s="9"/>
      <c r="F137" s="9"/>
      <c r="G137" s="9"/>
      <c r="H137" s="9"/>
      <c r="J137" s="9"/>
      <c r="K137" s="9"/>
      <c r="L137" s="9"/>
      <c r="M137" s="9"/>
      <c r="N137" s="9"/>
      <c r="O137" s="9"/>
      <c r="AH137" s="9"/>
      <c r="AI137" s="9"/>
    </row>
    <row r="138" spans="3:35" x14ac:dyDescent="0.25">
      <c r="C138" s="9"/>
      <c r="D138" s="9"/>
      <c r="E138" s="9"/>
      <c r="F138" s="9"/>
      <c r="G138" s="9"/>
      <c r="H138" s="9"/>
      <c r="J138" s="9"/>
      <c r="K138" s="9"/>
      <c r="L138" s="9"/>
      <c r="M138" s="9"/>
      <c r="N138" s="9"/>
      <c r="O138" s="9"/>
      <c r="AH138" s="9"/>
      <c r="AI138" s="9"/>
    </row>
    <row r="139" spans="3:35" x14ac:dyDescent="0.25">
      <c r="C139" s="9"/>
      <c r="D139" s="9"/>
      <c r="E139" s="9"/>
      <c r="F139" s="9"/>
      <c r="G139" s="9"/>
      <c r="H139" s="9"/>
      <c r="J139" s="9"/>
      <c r="K139" s="9"/>
      <c r="L139" s="9"/>
      <c r="M139" s="9"/>
      <c r="N139" s="9"/>
      <c r="O139" s="9"/>
      <c r="AH139" s="9"/>
      <c r="AI139" s="9"/>
    </row>
    <row r="140" spans="3:35" x14ac:dyDescent="0.25">
      <c r="C140" s="9"/>
      <c r="D140" s="9"/>
      <c r="E140" s="9"/>
      <c r="F140" s="9"/>
      <c r="G140" s="9"/>
      <c r="H140" s="9"/>
      <c r="J140" s="9"/>
      <c r="K140" s="9"/>
      <c r="L140" s="9"/>
      <c r="M140" s="9"/>
      <c r="N140" s="9"/>
      <c r="O140" s="9"/>
      <c r="AH140" s="9"/>
      <c r="AI140" s="9"/>
    </row>
    <row r="141" spans="3:35" x14ac:dyDescent="0.25">
      <c r="C141" s="9"/>
      <c r="D141" s="9"/>
      <c r="E141" s="9"/>
      <c r="F141" s="9"/>
      <c r="G141" s="9"/>
      <c r="H141" s="9"/>
      <c r="J141" s="9"/>
      <c r="K141" s="9"/>
      <c r="L141" s="9"/>
      <c r="M141" s="9"/>
      <c r="N141" s="9"/>
      <c r="O141" s="9"/>
      <c r="AH141" s="9"/>
      <c r="AI141" s="9"/>
    </row>
    <row r="142" spans="3:35" x14ac:dyDescent="0.25">
      <c r="C142" s="9"/>
      <c r="D142" s="9"/>
      <c r="E142" s="9"/>
      <c r="F142" s="9"/>
      <c r="G142" s="9"/>
      <c r="H142" s="9"/>
      <c r="J142" s="9"/>
      <c r="K142" s="9"/>
      <c r="L142" s="9"/>
      <c r="M142" s="9"/>
      <c r="N142" s="9"/>
      <c r="O142" s="9"/>
      <c r="AH142" s="9"/>
      <c r="AI142" s="9"/>
    </row>
    <row r="143" spans="3:35" x14ac:dyDescent="0.25">
      <c r="C143" s="9"/>
      <c r="D143" s="9"/>
      <c r="E143" s="9"/>
      <c r="F143" s="9"/>
      <c r="G143" s="9"/>
      <c r="H143" s="9"/>
      <c r="J143" s="9"/>
      <c r="K143" s="9"/>
      <c r="L143" s="9"/>
      <c r="M143" s="9"/>
      <c r="N143" s="9"/>
      <c r="O143" s="9"/>
      <c r="AH143" s="9"/>
      <c r="AI143" s="9"/>
    </row>
    <row r="144" spans="3:35" x14ac:dyDescent="0.25">
      <c r="C144" s="9"/>
      <c r="D144" s="9"/>
      <c r="E144" s="9"/>
      <c r="F144" s="9"/>
      <c r="G144" s="9"/>
      <c r="H144" s="9"/>
      <c r="J144" s="9"/>
      <c r="K144" s="9"/>
      <c r="L144" s="9"/>
      <c r="M144" s="9"/>
      <c r="N144" s="9"/>
      <c r="O144" s="9"/>
      <c r="AH144" s="9"/>
      <c r="AI144" s="9"/>
    </row>
    <row r="145" spans="3:35" x14ac:dyDescent="0.25">
      <c r="C145" s="9"/>
      <c r="D145" s="9"/>
      <c r="E145" s="9"/>
      <c r="F145" s="9"/>
      <c r="G145" s="9"/>
      <c r="H145" s="9"/>
      <c r="J145" s="9"/>
      <c r="K145" s="9"/>
      <c r="L145" s="9"/>
      <c r="M145" s="9"/>
      <c r="N145" s="9"/>
      <c r="O145" s="9"/>
      <c r="AH145" s="9"/>
      <c r="AI145" s="9"/>
    </row>
    <row r="146" spans="3:35" x14ac:dyDescent="0.25">
      <c r="C146" s="9"/>
      <c r="D146" s="9"/>
      <c r="E146" s="9"/>
      <c r="F146" s="9"/>
      <c r="G146" s="9"/>
      <c r="H146" s="9"/>
      <c r="J146" s="9"/>
      <c r="K146" s="9"/>
      <c r="L146" s="9"/>
      <c r="M146" s="9"/>
      <c r="N146" s="9"/>
      <c r="O146" s="9"/>
      <c r="AH146" s="9"/>
      <c r="AI146" s="9"/>
    </row>
    <row r="147" spans="3:35" x14ac:dyDescent="0.25">
      <c r="C147" s="9"/>
      <c r="D147" s="9"/>
      <c r="E147" s="9"/>
      <c r="F147" s="9"/>
      <c r="G147" s="9"/>
      <c r="H147" s="9"/>
      <c r="J147" s="9"/>
      <c r="K147" s="9"/>
      <c r="L147" s="9"/>
      <c r="M147" s="9"/>
      <c r="N147" s="9"/>
      <c r="O147" s="9"/>
      <c r="AH147" s="9"/>
      <c r="AI147" s="9"/>
    </row>
    <row r="148" spans="3:35" x14ac:dyDescent="0.25">
      <c r="C148" s="9"/>
      <c r="D148" s="9"/>
      <c r="E148" s="9"/>
      <c r="F148" s="9"/>
      <c r="G148" s="9"/>
      <c r="H148" s="9"/>
      <c r="J148" s="9"/>
      <c r="K148" s="9"/>
      <c r="L148" s="9"/>
      <c r="M148" s="9"/>
      <c r="N148" s="9"/>
      <c r="O148" s="9"/>
      <c r="AH148" s="9"/>
      <c r="AI148" s="9"/>
    </row>
    <row r="149" spans="3:35" x14ac:dyDescent="0.25">
      <c r="C149" s="9"/>
      <c r="D149" s="9"/>
      <c r="E149" s="9"/>
      <c r="F149" s="9"/>
      <c r="G149" s="9"/>
      <c r="H149" s="9"/>
      <c r="J149" s="9"/>
      <c r="K149" s="9"/>
      <c r="L149" s="9"/>
      <c r="M149" s="9"/>
      <c r="N149" s="9"/>
      <c r="O149" s="9"/>
      <c r="AH149" s="9"/>
      <c r="AI149" s="9"/>
    </row>
    <row r="150" spans="3:35" x14ac:dyDescent="0.25">
      <c r="C150" s="9"/>
      <c r="D150" s="9"/>
      <c r="E150" s="9"/>
      <c r="F150" s="9"/>
      <c r="G150" s="9"/>
      <c r="H150" s="9"/>
      <c r="J150" s="9"/>
      <c r="K150" s="9"/>
      <c r="L150" s="9"/>
      <c r="M150" s="9"/>
      <c r="N150" s="9"/>
      <c r="O150" s="9"/>
      <c r="AH150" s="9"/>
      <c r="AI150" s="9"/>
    </row>
    <row r="151" spans="3:35" x14ac:dyDescent="0.25">
      <c r="C151" s="9"/>
      <c r="D151" s="9"/>
      <c r="E151" s="9"/>
      <c r="F151" s="9"/>
      <c r="G151" s="9"/>
      <c r="H151" s="9"/>
      <c r="J151" s="9"/>
      <c r="K151" s="9"/>
      <c r="L151" s="9"/>
      <c r="M151" s="9"/>
      <c r="N151" s="9"/>
      <c r="O151" s="9"/>
      <c r="AH151" s="9"/>
      <c r="AI151" s="9"/>
    </row>
    <row r="152" spans="3:35" x14ac:dyDescent="0.25">
      <c r="C152" s="9"/>
      <c r="D152" s="9"/>
      <c r="E152" s="9"/>
      <c r="F152" s="9"/>
      <c r="G152" s="9"/>
      <c r="H152" s="9"/>
      <c r="J152" s="9"/>
      <c r="K152" s="9"/>
      <c r="L152" s="9"/>
      <c r="M152" s="9"/>
      <c r="N152" s="9"/>
      <c r="O152" s="9"/>
      <c r="AH152" s="9"/>
      <c r="AI152" s="9"/>
    </row>
    <row r="153" spans="3:35" x14ac:dyDescent="0.25">
      <c r="C153" s="9"/>
      <c r="D153" s="9"/>
      <c r="E153" s="9"/>
      <c r="F153" s="9"/>
      <c r="G153" s="9"/>
      <c r="H153" s="9"/>
      <c r="J153" s="9"/>
      <c r="K153" s="9"/>
      <c r="L153" s="9"/>
      <c r="M153" s="9"/>
      <c r="N153" s="9"/>
      <c r="O153" s="9"/>
      <c r="AH153" s="9"/>
      <c r="AI153" s="9"/>
    </row>
    <row r="154" spans="3:35" x14ac:dyDescent="0.25">
      <c r="C154" s="9"/>
      <c r="D154" s="9"/>
      <c r="E154" s="9"/>
      <c r="F154" s="9"/>
      <c r="G154" s="9"/>
      <c r="H154" s="9"/>
      <c r="J154" s="9"/>
      <c r="K154" s="9"/>
      <c r="L154" s="9"/>
      <c r="M154" s="9"/>
      <c r="N154" s="9"/>
      <c r="O154" s="9"/>
      <c r="AH154" s="9"/>
      <c r="AI154" s="9"/>
    </row>
    <row r="155" spans="3:35" x14ac:dyDescent="0.25">
      <c r="C155" s="9"/>
      <c r="D155" s="9"/>
      <c r="E155" s="9"/>
      <c r="F155" s="9"/>
      <c r="G155" s="9"/>
      <c r="H155" s="9"/>
      <c r="J155" s="9"/>
      <c r="K155" s="9"/>
      <c r="L155" s="9"/>
      <c r="M155" s="9"/>
      <c r="N155" s="9"/>
      <c r="O155" s="9"/>
      <c r="AH155" s="9"/>
      <c r="AI155" s="9"/>
    </row>
    <row r="156" spans="3:35" x14ac:dyDescent="0.25">
      <c r="C156" s="9"/>
      <c r="D156" s="9"/>
      <c r="E156" s="9"/>
      <c r="F156" s="9"/>
      <c r="G156" s="9"/>
      <c r="H156" s="9"/>
      <c r="J156" s="9"/>
      <c r="K156" s="9"/>
      <c r="L156" s="9"/>
      <c r="M156" s="9"/>
      <c r="N156" s="9"/>
      <c r="O156" s="9"/>
      <c r="AH156" s="9"/>
      <c r="AI156" s="9"/>
    </row>
    <row r="157" spans="3:35" x14ac:dyDescent="0.25">
      <c r="C157" s="9"/>
      <c r="D157" s="9"/>
      <c r="E157" s="9"/>
      <c r="F157" s="9"/>
      <c r="G157" s="9"/>
      <c r="H157" s="9"/>
      <c r="J157" s="9"/>
      <c r="K157" s="9"/>
      <c r="L157" s="9"/>
      <c r="M157" s="9"/>
      <c r="N157" s="9"/>
      <c r="O157" s="9"/>
      <c r="AH157" s="9"/>
      <c r="AI157" s="9"/>
    </row>
    <row r="158" spans="3:35" x14ac:dyDescent="0.25">
      <c r="C158" s="9"/>
      <c r="D158" s="9"/>
      <c r="E158" s="9"/>
      <c r="F158" s="9"/>
      <c r="G158" s="9"/>
      <c r="H158" s="9"/>
      <c r="J158" s="9"/>
      <c r="K158" s="9"/>
      <c r="L158" s="9"/>
      <c r="M158" s="9"/>
      <c r="N158" s="9"/>
      <c r="O158" s="9"/>
      <c r="AH158" s="9"/>
      <c r="AI158" s="9"/>
    </row>
    <row r="159" spans="3:35" x14ac:dyDescent="0.25">
      <c r="C159" s="9"/>
      <c r="D159" s="9"/>
      <c r="E159" s="9"/>
      <c r="F159" s="9"/>
      <c r="G159" s="9"/>
      <c r="H159" s="9"/>
      <c r="J159" s="9"/>
      <c r="K159" s="9"/>
      <c r="L159" s="9"/>
      <c r="M159" s="9"/>
      <c r="N159" s="9"/>
      <c r="O159" s="9"/>
      <c r="AH159" s="9"/>
      <c r="AI159" s="9"/>
    </row>
    <row r="160" spans="3:35" x14ac:dyDescent="0.25">
      <c r="C160" s="9"/>
      <c r="D160" s="9"/>
      <c r="E160" s="9"/>
      <c r="F160" s="9"/>
      <c r="G160" s="9"/>
      <c r="H160" s="9"/>
      <c r="J160" s="9"/>
      <c r="K160" s="9"/>
      <c r="L160" s="9"/>
      <c r="M160" s="9"/>
      <c r="N160" s="9"/>
      <c r="O160" s="9"/>
      <c r="AH160" s="9"/>
      <c r="AI160" s="9"/>
    </row>
    <row r="161" spans="3:35" x14ac:dyDescent="0.25">
      <c r="C161" s="9"/>
      <c r="D161" s="9"/>
      <c r="E161" s="9"/>
      <c r="F161" s="9"/>
      <c r="G161" s="9"/>
      <c r="H161" s="9"/>
      <c r="J161" s="9"/>
      <c r="K161" s="9"/>
      <c r="L161" s="9"/>
      <c r="M161" s="9"/>
      <c r="N161" s="9"/>
      <c r="O161" s="9"/>
      <c r="AH161" s="9"/>
      <c r="AI161" s="9"/>
    </row>
    <row r="162" spans="3:35" x14ac:dyDescent="0.25">
      <c r="C162" s="9"/>
      <c r="D162" s="9"/>
      <c r="E162" s="9"/>
      <c r="F162" s="9"/>
      <c r="G162" s="9"/>
      <c r="H162" s="9"/>
      <c r="J162" s="9"/>
      <c r="K162" s="9"/>
      <c r="L162" s="9"/>
      <c r="M162" s="9"/>
      <c r="N162" s="9"/>
      <c r="O162" s="9"/>
      <c r="AH162" s="9"/>
      <c r="AI162" s="9"/>
    </row>
    <row r="163" spans="3:35" x14ac:dyDescent="0.25">
      <c r="C163" s="9"/>
      <c r="D163" s="9"/>
      <c r="E163" s="9"/>
      <c r="F163" s="9"/>
      <c r="G163" s="9"/>
      <c r="H163" s="9"/>
      <c r="J163" s="9"/>
      <c r="K163" s="9"/>
      <c r="L163" s="9"/>
      <c r="M163" s="9"/>
      <c r="N163" s="9"/>
      <c r="O163" s="9"/>
      <c r="AH163" s="9"/>
      <c r="AI163" s="9"/>
    </row>
    <row r="164" spans="3:35" x14ac:dyDescent="0.25">
      <c r="C164" s="9"/>
      <c r="D164" s="9"/>
      <c r="E164" s="9"/>
      <c r="F164" s="9"/>
      <c r="G164" s="9"/>
      <c r="H164" s="9"/>
      <c r="J164" s="9"/>
      <c r="K164" s="9"/>
      <c r="L164" s="9"/>
      <c r="M164" s="9"/>
      <c r="N164" s="9"/>
      <c r="O164" s="9"/>
      <c r="AH164" s="9"/>
      <c r="AI164" s="9"/>
    </row>
    <row r="165" spans="3:35" x14ac:dyDescent="0.25">
      <c r="C165" s="9"/>
      <c r="D165" s="9"/>
      <c r="E165" s="9"/>
      <c r="F165" s="9"/>
      <c r="G165" s="9"/>
      <c r="H165" s="9"/>
      <c r="J165" s="9"/>
      <c r="K165" s="9"/>
      <c r="L165" s="9"/>
      <c r="M165" s="9"/>
      <c r="N165" s="9"/>
      <c r="O165" s="9"/>
      <c r="AH165" s="9"/>
      <c r="AI165" s="9"/>
    </row>
    <row r="166" spans="3:35" x14ac:dyDescent="0.25">
      <c r="C166" s="9"/>
      <c r="D166" s="9"/>
      <c r="E166" s="9"/>
      <c r="F166" s="9"/>
      <c r="G166" s="9"/>
      <c r="H166" s="9"/>
      <c r="J166" s="9"/>
      <c r="K166" s="9"/>
      <c r="L166" s="9"/>
      <c r="M166" s="9"/>
      <c r="N166" s="9"/>
      <c r="O166" s="9"/>
      <c r="AH166" s="9"/>
      <c r="AI166" s="9"/>
    </row>
    <row r="167" spans="3:35" x14ac:dyDescent="0.25">
      <c r="C167" s="9"/>
      <c r="D167" s="9"/>
      <c r="E167" s="9"/>
      <c r="F167" s="9"/>
      <c r="G167" s="9"/>
      <c r="H167" s="9"/>
      <c r="J167" s="9"/>
      <c r="K167" s="9"/>
      <c r="L167" s="9"/>
      <c r="M167" s="9"/>
      <c r="N167" s="9"/>
      <c r="O167" s="9"/>
      <c r="AH167" s="9"/>
      <c r="AI167" s="9"/>
    </row>
    <row r="168" spans="3:35" x14ac:dyDescent="0.25">
      <c r="C168" s="9"/>
      <c r="D168" s="9"/>
      <c r="E168" s="9"/>
      <c r="F168" s="9"/>
      <c r="G168" s="9"/>
      <c r="H168" s="9"/>
      <c r="J168" s="9"/>
      <c r="K168" s="9"/>
      <c r="L168" s="9"/>
      <c r="M168" s="9"/>
      <c r="N168" s="9"/>
      <c r="O168" s="9"/>
      <c r="AH168" s="9"/>
      <c r="AI168" s="9"/>
    </row>
    <row r="169" spans="3:35" x14ac:dyDescent="0.25">
      <c r="C169" s="9"/>
      <c r="D169" s="9"/>
      <c r="E169" s="9"/>
      <c r="F169" s="9"/>
      <c r="G169" s="9"/>
      <c r="H169" s="9"/>
      <c r="J169" s="9"/>
      <c r="K169" s="9"/>
      <c r="L169" s="9"/>
      <c r="M169" s="9"/>
      <c r="N169" s="9"/>
      <c r="O169" s="9"/>
      <c r="AH169" s="9"/>
      <c r="AI169" s="9"/>
    </row>
    <row r="170" spans="3:35" x14ac:dyDescent="0.25">
      <c r="C170" s="9"/>
      <c r="D170" s="9"/>
      <c r="E170" s="9"/>
      <c r="F170" s="9"/>
      <c r="G170" s="9"/>
      <c r="H170" s="9"/>
      <c r="J170" s="9"/>
      <c r="K170" s="9"/>
      <c r="L170" s="9"/>
      <c r="M170" s="9"/>
      <c r="N170" s="9"/>
      <c r="O170" s="9"/>
      <c r="AH170" s="9"/>
      <c r="AI170" s="9"/>
    </row>
    <row r="171" spans="3:35" x14ac:dyDescent="0.25">
      <c r="C171" s="9"/>
      <c r="D171" s="9"/>
      <c r="E171" s="9"/>
      <c r="F171" s="9"/>
      <c r="G171" s="9"/>
      <c r="H171" s="9"/>
      <c r="J171" s="9"/>
      <c r="K171" s="9"/>
      <c r="L171" s="9"/>
      <c r="M171" s="9"/>
      <c r="N171" s="9"/>
      <c r="O171" s="9"/>
      <c r="AH171" s="9"/>
      <c r="AI171" s="9"/>
    </row>
    <row r="172" spans="3:35" x14ac:dyDescent="0.25">
      <c r="C172" s="9"/>
      <c r="D172" s="9"/>
      <c r="E172" s="9"/>
      <c r="F172" s="9"/>
      <c r="G172" s="9"/>
      <c r="H172" s="9"/>
      <c r="J172" s="9"/>
      <c r="K172" s="9"/>
      <c r="L172" s="9"/>
      <c r="M172" s="9"/>
      <c r="N172" s="9"/>
      <c r="O172" s="9"/>
      <c r="AH172" s="9"/>
      <c r="AI172" s="9"/>
    </row>
    <row r="173" spans="3:35" x14ac:dyDescent="0.25">
      <c r="C173" s="9"/>
      <c r="D173" s="9"/>
      <c r="E173" s="9"/>
      <c r="F173" s="9"/>
      <c r="G173" s="9"/>
      <c r="H173" s="9"/>
      <c r="J173" s="9"/>
      <c r="K173" s="9"/>
      <c r="L173" s="9"/>
      <c r="M173" s="9"/>
      <c r="N173" s="9"/>
      <c r="O173" s="9"/>
      <c r="AH173" s="9"/>
      <c r="AI173" s="9"/>
    </row>
    <row r="174" spans="3:35" x14ac:dyDescent="0.25">
      <c r="C174" s="9"/>
      <c r="D174" s="9"/>
      <c r="E174" s="9"/>
      <c r="F174" s="9"/>
      <c r="G174" s="9"/>
      <c r="H174" s="9"/>
      <c r="J174" s="9"/>
      <c r="K174" s="9"/>
      <c r="L174" s="9"/>
      <c r="M174" s="9"/>
      <c r="N174" s="9"/>
      <c r="O174" s="9"/>
      <c r="AH174" s="9"/>
      <c r="AI174" s="9"/>
    </row>
    <row r="175" spans="3:35" x14ac:dyDescent="0.25">
      <c r="C175" s="9"/>
      <c r="D175" s="9"/>
      <c r="E175" s="9"/>
      <c r="F175" s="9"/>
      <c r="G175" s="9"/>
      <c r="H175" s="9"/>
      <c r="J175" s="9"/>
      <c r="K175" s="9"/>
      <c r="L175" s="9"/>
      <c r="M175" s="9"/>
      <c r="N175" s="9"/>
      <c r="O175" s="9"/>
      <c r="AH175" s="9"/>
      <c r="AI175" s="9"/>
    </row>
    <row r="176" spans="3:35" x14ac:dyDescent="0.25">
      <c r="C176" s="9"/>
      <c r="D176" s="9"/>
      <c r="E176" s="9"/>
      <c r="F176" s="9"/>
      <c r="G176" s="9"/>
      <c r="H176" s="9"/>
      <c r="J176" s="9"/>
      <c r="K176" s="9"/>
      <c r="L176" s="9"/>
      <c r="M176" s="9"/>
      <c r="N176" s="9"/>
      <c r="O176" s="9"/>
      <c r="AH176" s="9"/>
      <c r="AI176" s="9"/>
    </row>
    <row r="177" spans="3:35" x14ac:dyDescent="0.25">
      <c r="C177" s="9"/>
      <c r="D177" s="9"/>
      <c r="E177" s="9"/>
      <c r="F177" s="9"/>
      <c r="G177" s="9"/>
      <c r="H177" s="9"/>
      <c r="J177" s="9"/>
      <c r="K177" s="9"/>
      <c r="L177" s="9"/>
      <c r="M177" s="9"/>
      <c r="N177" s="9"/>
      <c r="O177" s="9"/>
      <c r="AH177" s="9"/>
      <c r="AI177" s="9"/>
    </row>
    <row r="178" spans="3:35" x14ac:dyDescent="0.25">
      <c r="C178" s="9"/>
      <c r="D178" s="9"/>
      <c r="E178" s="9"/>
      <c r="F178" s="9"/>
      <c r="G178" s="9"/>
      <c r="H178" s="9"/>
      <c r="J178" s="9"/>
      <c r="K178" s="9"/>
      <c r="L178" s="9"/>
      <c r="M178" s="9"/>
      <c r="N178" s="9"/>
      <c r="O178" s="9"/>
      <c r="AH178" s="9"/>
      <c r="AI178" s="9"/>
    </row>
    <row r="179" spans="3:35" x14ac:dyDescent="0.25">
      <c r="C179" s="9"/>
      <c r="D179" s="9"/>
      <c r="E179" s="9"/>
      <c r="F179" s="9"/>
      <c r="G179" s="9"/>
      <c r="H179" s="9"/>
      <c r="J179" s="9"/>
      <c r="K179" s="9"/>
      <c r="L179" s="9"/>
      <c r="M179" s="9"/>
      <c r="N179" s="9"/>
      <c r="O179" s="9"/>
      <c r="AH179" s="9"/>
      <c r="AI179" s="9"/>
    </row>
    <row r="180" spans="3:35" x14ac:dyDescent="0.25">
      <c r="C180" s="9"/>
      <c r="D180" s="9"/>
      <c r="E180" s="9"/>
      <c r="F180" s="9"/>
      <c r="G180" s="9"/>
      <c r="H180" s="9"/>
      <c r="J180" s="9"/>
      <c r="K180" s="9"/>
      <c r="L180" s="9"/>
      <c r="M180" s="9"/>
      <c r="N180" s="9"/>
      <c r="O180" s="9"/>
      <c r="AH180" s="9"/>
      <c r="AI180" s="9"/>
    </row>
    <row r="181" spans="3:35" x14ac:dyDescent="0.25">
      <c r="C181" s="9"/>
      <c r="D181" s="9"/>
      <c r="E181" s="9"/>
      <c r="F181" s="9"/>
      <c r="G181" s="9"/>
      <c r="H181" s="9"/>
      <c r="J181" s="9"/>
      <c r="K181" s="9"/>
      <c r="L181" s="9"/>
      <c r="M181" s="9"/>
      <c r="N181" s="9"/>
      <c r="O181" s="9"/>
      <c r="AH181" s="9"/>
      <c r="AI181" s="9"/>
    </row>
    <row r="182" spans="3:35" x14ac:dyDescent="0.25">
      <c r="C182" s="9"/>
      <c r="D182" s="9"/>
      <c r="E182" s="9"/>
      <c r="F182" s="9"/>
      <c r="G182" s="9"/>
      <c r="H182" s="9"/>
      <c r="J182" s="9"/>
      <c r="K182" s="9"/>
      <c r="L182" s="9"/>
      <c r="M182" s="9"/>
      <c r="N182" s="9"/>
      <c r="O182" s="9"/>
      <c r="AH182" s="9"/>
      <c r="AI182" s="9"/>
    </row>
    <row r="183" spans="3:35" x14ac:dyDescent="0.25">
      <c r="C183" s="9"/>
      <c r="D183" s="9"/>
      <c r="E183" s="9"/>
      <c r="F183" s="9"/>
      <c r="G183" s="9"/>
      <c r="H183" s="9"/>
      <c r="J183" s="9"/>
      <c r="K183" s="9"/>
      <c r="L183" s="9"/>
      <c r="M183" s="9"/>
      <c r="N183" s="9"/>
      <c r="O183" s="9"/>
      <c r="AH183" s="9"/>
      <c r="AI183" s="9"/>
    </row>
    <row r="184" spans="3:35" x14ac:dyDescent="0.25">
      <c r="C184" s="9"/>
      <c r="D184" s="9"/>
      <c r="E184" s="9"/>
      <c r="F184" s="9"/>
      <c r="G184" s="9"/>
      <c r="H184" s="9"/>
      <c r="J184" s="9"/>
      <c r="K184" s="9"/>
      <c r="L184" s="9"/>
      <c r="M184" s="9"/>
      <c r="N184" s="9"/>
      <c r="O184" s="9"/>
      <c r="AH184" s="9"/>
      <c r="AI184" s="9"/>
    </row>
    <row r="185" spans="3:35" x14ac:dyDescent="0.25">
      <c r="C185" s="9"/>
      <c r="D185" s="9"/>
      <c r="E185" s="9"/>
      <c r="F185" s="9"/>
      <c r="G185" s="9"/>
      <c r="H185" s="9"/>
      <c r="J185" s="9"/>
      <c r="K185" s="9"/>
      <c r="L185" s="9"/>
      <c r="M185" s="9"/>
      <c r="N185" s="9"/>
      <c r="O185" s="9"/>
      <c r="AH185" s="9"/>
      <c r="AI185" s="9"/>
    </row>
    <row r="186" spans="3:35" x14ac:dyDescent="0.25">
      <c r="C186" s="9"/>
      <c r="D186" s="9"/>
      <c r="E186" s="9"/>
      <c r="F186" s="9"/>
      <c r="G186" s="9"/>
      <c r="H186" s="9"/>
      <c r="J186" s="9"/>
      <c r="K186" s="9"/>
      <c r="L186" s="9"/>
      <c r="M186" s="9"/>
      <c r="N186" s="9"/>
      <c r="O186" s="9"/>
      <c r="AH186" s="9"/>
      <c r="AI186" s="9"/>
    </row>
    <row r="187" spans="3:35" x14ac:dyDescent="0.25">
      <c r="C187" s="9"/>
      <c r="D187" s="9"/>
      <c r="E187" s="9"/>
      <c r="F187" s="9"/>
      <c r="G187" s="9"/>
      <c r="H187" s="9"/>
      <c r="J187" s="9"/>
      <c r="K187" s="9"/>
      <c r="L187" s="9"/>
      <c r="M187" s="9"/>
      <c r="N187" s="9"/>
      <c r="O187" s="9"/>
      <c r="AH187" s="9"/>
      <c r="AI187" s="9"/>
    </row>
    <row r="188" spans="3:35" x14ac:dyDescent="0.25">
      <c r="C188" s="9"/>
      <c r="D188" s="9"/>
      <c r="E188" s="9"/>
      <c r="F188" s="9"/>
      <c r="G188" s="9"/>
      <c r="H188" s="9"/>
      <c r="J188" s="9"/>
      <c r="K188" s="9"/>
      <c r="L188" s="9"/>
      <c r="M188" s="9"/>
      <c r="N188" s="9"/>
      <c r="O188" s="9"/>
      <c r="AH188" s="9"/>
      <c r="AI188" s="9"/>
    </row>
    <row r="189" spans="3:35" x14ac:dyDescent="0.25">
      <c r="C189" s="9"/>
      <c r="D189" s="9"/>
      <c r="E189" s="9"/>
      <c r="F189" s="9"/>
      <c r="G189" s="9"/>
      <c r="H189" s="9"/>
      <c r="J189" s="9"/>
      <c r="K189" s="9"/>
      <c r="L189" s="9"/>
      <c r="M189" s="9"/>
      <c r="N189" s="9"/>
      <c r="O189" s="9"/>
      <c r="AH189" s="9"/>
      <c r="AI189" s="9"/>
    </row>
    <row r="190" spans="3:35" x14ac:dyDescent="0.25">
      <c r="C190" s="9"/>
      <c r="D190" s="9"/>
      <c r="E190" s="9"/>
      <c r="F190" s="9"/>
      <c r="G190" s="9"/>
      <c r="H190" s="9"/>
      <c r="J190" s="9"/>
      <c r="K190" s="9"/>
      <c r="L190" s="9"/>
      <c r="M190" s="9"/>
      <c r="N190" s="9"/>
      <c r="O190" s="9"/>
      <c r="AH190" s="9"/>
      <c r="AI190" s="9"/>
    </row>
    <row r="191" spans="3:35" x14ac:dyDescent="0.25">
      <c r="C191" s="9"/>
      <c r="D191" s="9"/>
      <c r="E191" s="9"/>
      <c r="F191" s="9"/>
      <c r="G191" s="9"/>
      <c r="H191" s="9"/>
      <c r="J191" s="9"/>
      <c r="K191" s="9"/>
      <c r="L191" s="9"/>
      <c r="M191" s="9"/>
      <c r="N191" s="9"/>
      <c r="O191" s="9"/>
      <c r="AH191" s="9"/>
      <c r="AI191" s="9"/>
    </row>
    <row r="192" spans="3:35" x14ac:dyDescent="0.25">
      <c r="C192" s="9"/>
      <c r="D192" s="9"/>
      <c r="E192" s="9"/>
      <c r="F192" s="9"/>
      <c r="G192" s="9"/>
      <c r="H192" s="9"/>
      <c r="J192" s="9"/>
      <c r="K192" s="9"/>
      <c r="L192" s="9"/>
      <c r="M192" s="9"/>
      <c r="N192" s="9"/>
      <c r="O192" s="9"/>
      <c r="AH192" s="9"/>
      <c r="AI192" s="9"/>
    </row>
    <row r="193" spans="3:35" x14ac:dyDescent="0.25">
      <c r="C193" s="9"/>
      <c r="D193" s="9"/>
      <c r="E193" s="9"/>
      <c r="F193" s="9"/>
      <c r="G193" s="9"/>
      <c r="H193" s="9"/>
      <c r="J193" s="9"/>
      <c r="K193" s="9"/>
      <c r="L193" s="9"/>
      <c r="M193" s="9"/>
      <c r="N193" s="9"/>
      <c r="O193" s="9"/>
      <c r="AH193" s="9"/>
      <c r="AI193" s="9"/>
    </row>
    <row r="194" spans="3:35" x14ac:dyDescent="0.25">
      <c r="C194" s="9"/>
      <c r="D194" s="9"/>
      <c r="E194" s="9"/>
      <c r="F194" s="9"/>
      <c r="G194" s="9"/>
      <c r="H194" s="9"/>
      <c r="J194" s="9"/>
      <c r="K194" s="9"/>
      <c r="L194" s="9"/>
      <c r="M194" s="9"/>
      <c r="N194" s="9"/>
      <c r="O194" s="9"/>
      <c r="AH194" s="9"/>
      <c r="AI194" s="9"/>
    </row>
    <row r="195" spans="3:35" x14ac:dyDescent="0.25">
      <c r="C195" s="9"/>
      <c r="D195" s="9"/>
      <c r="E195" s="9"/>
      <c r="F195" s="9"/>
      <c r="G195" s="9"/>
      <c r="H195" s="9"/>
      <c r="J195" s="9"/>
      <c r="K195" s="9"/>
      <c r="L195" s="9"/>
      <c r="M195" s="9"/>
      <c r="N195" s="9"/>
      <c r="O195" s="9"/>
      <c r="AH195" s="9"/>
      <c r="AI195" s="9"/>
    </row>
    <row r="196" spans="3:35" x14ac:dyDescent="0.25">
      <c r="C196" s="9"/>
      <c r="D196" s="9"/>
      <c r="E196" s="9"/>
      <c r="F196" s="9"/>
      <c r="G196" s="9"/>
      <c r="H196" s="9"/>
      <c r="J196" s="9"/>
      <c r="K196" s="9"/>
      <c r="L196" s="9"/>
      <c r="M196" s="9"/>
      <c r="N196" s="9"/>
      <c r="O196" s="9"/>
      <c r="AH196" s="9"/>
      <c r="AI196" s="9"/>
    </row>
    <row r="197" spans="3:35" x14ac:dyDescent="0.25">
      <c r="C197" s="9"/>
      <c r="D197" s="9"/>
      <c r="E197" s="9"/>
      <c r="F197" s="9"/>
      <c r="G197" s="9"/>
      <c r="H197" s="9"/>
      <c r="J197" s="9"/>
      <c r="K197" s="9"/>
      <c r="L197" s="9"/>
      <c r="M197" s="9"/>
      <c r="N197" s="9"/>
      <c r="O197" s="9"/>
      <c r="AH197" s="9"/>
      <c r="AI197" s="9"/>
    </row>
    <row r="198" spans="3:35" x14ac:dyDescent="0.25">
      <c r="C198" s="9"/>
      <c r="D198" s="9"/>
      <c r="E198" s="9"/>
      <c r="F198" s="9"/>
      <c r="G198" s="9"/>
      <c r="H198" s="9"/>
      <c r="J198" s="9"/>
      <c r="K198" s="9"/>
      <c r="L198" s="9"/>
      <c r="M198" s="9"/>
      <c r="N198" s="9"/>
      <c r="O198" s="9"/>
      <c r="AH198" s="9"/>
      <c r="AI198" s="9"/>
    </row>
    <row r="199" spans="3:35" x14ac:dyDescent="0.25">
      <c r="C199" s="9"/>
      <c r="D199" s="9"/>
      <c r="E199" s="9"/>
      <c r="F199" s="9"/>
      <c r="G199" s="9"/>
      <c r="H199" s="9"/>
      <c r="J199" s="9"/>
      <c r="K199" s="9"/>
      <c r="L199" s="9"/>
      <c r="M199" s="9"/>
      <c r="N199" s="9"/>
      <c r="O199" s="9"/>
      <c r="AH199" s="9"/>
      <c r="AI199" s="9"/>
    </row>
    <row r="200" spans="3:35" x14ac:dyDescent="0.25">
      <c r="C200" s="9"/>
      <c r="D200" s="9"/>
      <c r="E200" s="9"/>
      <c r="F200" s="9"/>
      <c r="G200" s="9"/>
      <c r="H200" s="9"/>
      <c r="J200" s="9"/>
      <c r="K200" s="9"/>
      <c r="L200" s="9"/>
      <c r="M200" s="9"/>
      <c r="N200" s="9"/>
      <c r="O200" s="9"/>
      <c r="AH200" s="9"/>
      <c r="AI200" s="9"/>
    </row>
    <row r="201" spans="3:35" x14ac:dyDescent="0.25">
      <c r="C201" s="9"/>
      <c r="D201" s="9"/>
      <c r="E201" s="9"/>
      <c r="F201" s="9"/>
      <c r="G201" s="9"/>
      <c r="H201" s="9"/>
      <c r="J201" s="9"/>
      <c r="K201" s="9"/>
      <c r="L201" s="9"/>
      <c r="M201" s="9"/>
      <c r="N201" s="9"/>
      <c r="O201" s="9"/>
      <c r="AH201" s="9"/>
      <c r="AI201" s="9"/>
    </row>
    <row r="202" spans="3:35" x14ac:dyDescent="0.25">
      <c r="C202" s="9"/>
      <c r="D202" s="9"/>
      <c r="E202" s="9"/>
      <c r="F202" s="9"/>
      <c r="G202" s="9"/>
      <c r="H202" s="9"/>
      <c r="J202" s="9"/>
      <c r="K202" s="9"/>
      <c r="L202" s="9"/>
      <c r="M202" s="9"/>
      <c r="N202" s="9"/>
      <c r="O202" s="9"/>
      <c r="AH202" s="9"/>
      <c r="AI202" s="9"/>
    </row>
    <row r="203" spans="3:35" x14ac:dyDescent="0.25">
      <c r="C203" s="9"/>
      <c r="D203" s="9"/>
      <c r="E203" s="9"/>
      <c r="F203" s="9"/>
      <c r="G203" s="9"/>
      <c r="H203" s="9"/>
      <c r="J203" s="9"/>
      <c r="K203" s="9"/>
      <c r="L203" s="9"/>
      <c r="M203" s="9"/>
      <c r="N203" s="9"/>
      <c r="O203" s="9"/>
      <c r="AH203" s="9"/>
      <c r="AI203" s="9"/>
    </row>
    <row r="204" spans="3:35" x14ac:dyDescent="0.25">
      <c r="C204" s="9"/>
      <c r="D204" s="9"/>
      <c r="E204" s="9"/>
      <c r="F204" s="9"/>
      <c r="G204" s="9"/>
      <c r="H204" s="9"/>
      <c r="J204" s="9"/>
      <c r="K204" s="9"/>
      <c r="L204" s="9"/>
      <c r="M204" s="9"/>
      <c r="N204" s="9"/>
      <c r="O204" s="9"/>
      <c r="AH204" s="9"/>
      <c r="AI204" s="9"/>
    </row>
    <row r="205" spans="3:35" x14ac:dyDescent="0.25">
      <c r="C205" s="9"/>
      <c r="D205" s="9"/>
      <c r="E205" s="9"/>
      <c r="F205" s="9"/>
      <c r="G205" s="9"/>
      <c r="H205" s="9"/>
      <c r="J205" s="9"/>
      <c r="K205" s="9"/>
      <c r="L205" s="9"/>
      <c r="M205" s="9"/>
      <c r="N205" s="9"/>
      <c r="O205" s="9"/>
      <c r="AH205" s="9"/>
      <c r="AI205" s="9"/>
    </row>
    <row r="206" spans="3:35" x14ac:dyDescent="0.25">
      <c r="C206" s="9"/>
      <c r="D206" s="9"/>
      <c r="E206" s="9"/>
      <c r="F206" s="9"/>
      <c r="G206" s="9"/>
      <c r="H206" s="9"/>
      <c r="J206" s="9"/>
      <c r="K206" s="9"/>
      <c r="L206" s="9"/>
      <c r="M206" s="9"/>
      <c r="N206" s="9"/>
      <c r="O206" s="9"/>
      <c r="AH206" s="9"/>
      <c r="AI206" s="9"/>
    </row>
    <row r="207" spans="3:35" x14ac:dyDescent="0.25">
      <c r="C207" s="9"/>
      <c r="D207" s="9"/>
      <c r="E207" s="9"/>
      <c r="F207" s="9"/>
      <c r="G207" s="9"/>
      <c r="H207" s="9"/>
      <c r="J207" s="9"/>
      <c r="K207" s="9"/>
      <c r="L207" s="9"/>
      <c r="M207" s="9"/>
      <c r="N207" s="9"/>
      <c r="O207" s="9"/>
      <c r="AH207" s="9"/>
      <c r="AI207" s="9"/>
    </row>
    <row r="208" spans="3:35" x14ac:dyDescent="0.25">
      <c r="C208" s="9"/>
      <c r="D208" s="9"/>
      <c r="E208" s="9"/>
      <c r="F208" s="9"/>
      <c r="G208" s="9"/>
      <c r="H208" s="9"/>
      <c r="J208" s="9"/>
      <c r="K208" s="9"/>
      <c r="L208" s="9"/>
      <c r="M208" s="9"/>
      <c r="N208" s="9"/>
      <c r="O208" s="9"/>
      <c r="AH208" s="9"/>
      <c r="AI208" s="9"/>
    </row>
    <row r="209" spans="3:35" x14ac:dyDescent="0.25">
      <c r="C209" s="9"/>
      <c r="D209" s="9"/>
      <c r="E209" s="9"/>
      <c r="F209" s="9"/>
      <c r="G209" s="9"/>
      <c r="H209" s="9"/>
      <c r="J209" s="9"/>
      <c r="K209" s="9"/>
      <c r="L209" s="9"/>
      <c r="M209" s="9"/>
      <c r="N209" s="9"/>
      <c r="O209" s="9"/>
      <c r="AH209" s="9"/>
      <c r="AI209" s="9"/>
    </row>
    <row r="210" spans="3:35" x14ac:dyDescent="0.25">
      <c r="C210" s="9"/>
      <c r="D210" s="9"/>
      <c r="E210" s="9"/>
      <c r="F210" s="9"/>
      <c r="G210" s="9"/>
      <c r="H210" s="9"/>
      <c r="J210" s="9"/>
      <c r="K210" s="9"/>
      <c r="L210" s="9"/>
      <c r="M210" s="9"/>
      <c r="N210" s="9"/>
      <c r="O210" s="9"/>
      <c r="AH210" s="9"/>
      <c r="AI210" s="9"/>
    </row>
    <row r="211" spans="3:35" x14ac:dyDescent="0.25">
      <c r="C211" s="9"/>
      <c r="D211" s="9"/>
      <c r="E211" s="9"/>
      <c r="F211" s="9"/>
      <c r="G211" s="9"/>
      <c r="H211" s="9"/>
      <c r="J211" s="9"/>
      <c r="K211" s="9"/>
      <c r="L211" s="9"/>
      <c r="M211" s="9"/>
      <c r="N211" s="9"/>
      <c r="O211" s="9"/>
      <c r="AH211" s="9"/>
      <c r="AI211" s="9"/>
    </row>
    <row r="212" spans="3:35" x14ac:dyDescent="0.25">
      <c r="C212" s="9"/>
      <c r="D212" s="9"/>
      <c r="E212" s="9"/>
      <c r="F212" s="9"/>
      <c r="G212" s="9"/>
      <c r="H212" s="9"/>
    </row>
    <row r="213" spans="3:35" x14ac:dyDescent="0.25">
      <c r="C213" s="9"/>
      <c r="D213" s="9"/>
      <c r="E213" s="9"/>
      <c r="F213" s="9"/>
      <c r="G213" s="9"/>
      <c r="H213" s="9"/>
    </row>
    <row r="214" spans="3:35" x14ac:dyDescent="0.25">
      <c r="C214" s="9"/>
      <c r="D214" s="9"/>
      <c r="E214" s="9"/>
      <c r="F214" s="9"/>
      <c r="G214" s="9"/>
      <c r="H214" s="9"/>
    </row>
    <row r="215" spans="3:35" x14ac:dyDescent="0.25">
      <c r="C215" s="9"/>
      <c r="D215" s="9"/>
      <c r="E215" s="9"/>
      <c r="F215" s="9"/>
      <c r="G215" s="9"/>
      <c r="H215" s="9"/>
    </row>
  </sheetData>
  <mergeCells count="3">
    <mergeCell ref="D5:H5"/>
    <mergeCell ref="K5:O5"/>
    <mergeCell ref="C67:I67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Ratios</vt:lpstr>
      <vt:lpstr>Ratios (MCLAREN)</vt:lpstr>
      <vt:lpstr>Profitability Ratios 1</vt:lpstr>
      <vt:lpstr>Profitability Ratios 2</vt:lpstr>
      <vt:lpstr>Liquidity Ratios</vt:lpstr>
      <vt:lpstr>Activity Ratio 1</vt:lpstr>
      <vt:lpstr>Activity Ratio 2</vt:lpstr>
      <vt:lpstr>Leverage Ratios</vt:lpstr>
      <vt:lpstr>Investor Ratios 1</vt:lpstr>
      <vt:lpstr>AM vs Mclaren Revenue</vt:lpstr>
      <vt:lpstr>AM vs Mclaren Prof 1</vt:lpstr>
      <vt:lpstr>AM vs Mclaren Prof 2</vt:lpstr>
      <vt:lpstr>AM vs Mclaren Prof 3</vt:lpstr>
      <vt:lpstr>AM vs Mclaren Prof 4</vt:lpstr>
      <vt:lpstr>AM vs Mclaren Liquidity</vt:lpstr>
      <vt:lpstr>AM vs Mclaren Leverage </vt:lpstr>
      <vt:lpstr>Ratios!Print_Area</vt:lpstr>
    </vt:vector>
  </TitlesOfParts>
  <Company>Zodiac 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RAMA Harish (SAFRAN SEATS)</dc:creator>
  <cp:lastModifiedBy>RAMA Harish (SAFRAN SEATS)</cp:lastModifiedBy>
  <cp:lastPrinted>2023-09-28T16:10:42Z</cp:lastPrinted>
  <dcterms:created xsi:type="dcterms:W3CDTF">2023-09-09T20:22:48Z</dcterms:created>
  <dcterms:modified xsi:type="dcterms:W3CDTF">2023-09-29T12:31:45Z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2023-09-29T12:31:12Z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a3078db4-8f79-4e36-9c1d-b517b8a3904d</vt:lpwstr>
  </property>
  <property fmtid="{D5CDD505-2E9C-101B-9397-08002B2CF9AE}" pid="8" name="MSIP_Label_024ffcea-f25b-491e-9dc9-834516f3550e_ContentBits">
    <vt:lpwstr>1</vt:lpwstr>
  </property>
</Properties>
</file>