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OneDrive - University of Wales Trinity Saint David\Teaching\ACDA 4002 - EE Principles\"/>
    </mc:Choice>
  </mc:AlternateContent>
  <bookViews>
    <workbookView xWindow="0" yWindow="0" windowWidth="18825" windowHeight="1078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9" i="2"/>
  <c r="E10" i="2"/>
  <c r="G10" i="2" s="1"/>
  <c r="F10" i="2"/>
  <c r="E11" i="2"/>
  <c r="G11" i="2" s="1"/>
  <c r="F11" i="2"/>
  <c r="E12" i="2"/>
  <c r="G12" i="2" s="1"/>
  <c r="F12" i="2"/>
  <c r="E13" i="2"/>
  <c r="G13" i="2" s="1"/>
  <c r="F13" i="2"/>
  <c r="E14" i="2"/>
  <c r="G14" i="2" s="1"/>
  <c r="F14" i="2"/>
  <c r="E15" i="2"/>
  <c r="G15" i="2" s="1"/>
  <c r="F15" i="2"/>
  <c r="E16" i="2"/>
  <c r="G16" i="2" s="1"/>
  <c r="F16" i="2"/>
  <c r="E17" i="2"/>
  <c r="G17" i="2" s="1"/>
  <c r="F17" i="2"/>
  <c r="E18" i="2"/>
  <c r="G18" i="2" s="1"/>
  <c r="F18" i="2"/>
  <c r="E19" i="2"/>
  <c r="G19" i="2" s="1"/>
  <c r="F19" i="2"/>
  <c r="E20" i="2"/>
  <c r="G20" i="2" s="1"/>
  <c r="F20" i="2"/>
  <c r="E21" i="2"/>
  <c r="G21" i="2" s="1"/>
  <c r="F21" i="2"/>
  <c r="E22" i="2"/>
  <c r="G22" i="2" s="1"/>
  <c r="F22" i="2"/>
  <c r="E23" i="2"/>
  <c r="G23" i="2" s="1"/>
  <c r="F23" i="2"/>
  <c r="E24" i="2"/>
  <c r="G24" i="2" s="1"/>
  <c r="F24" i="2"/>
  <c r="E25" i="2"/>
  <c r="G25" i="2" s="1"/>
  <c r="F25" i="2"/>
  <c r="F9" i="2"/>
  <c r="E9" i="2"/>
  <c r="C5" i="2"/>
  <c r="E38" i="1" l="1"/>
  <c r="E33" i="1"/>
  <c r="H33" i="1"/>
  <c r="H32" i="1"/>
  <c r="G28" i="1"/>
  <c r="G27" i="1"/>
  <c r="H9" i="1"/>
  <c r="D39" i="1"/>
  <c r="D34" i="1"/>
  <c r="E28" i="1"/>
  <c r="E2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6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7" i="1"/>
  <c r="D6" i="1"/>
</calcChain>
</file>

<file path=xl/sharedStrings.xml><?xml version="1.0" encoding="utf-8"?>
<sst xmlns="http://schemas.openxmlformats.org/spreadsheetml/2006/main" count="33" uniqueCount="23">
  <si>
    <t>Frequency</t>
  </si>
  <si>
    <t>Vin</t>
  </si>
  <si>
    <t>VLC</t>
  </si>
  <si>
    <t>dB</t>
  </si>
  <si>
    <t>-3dB line</t>
  </si>
  <si>
    <t>X</t>
  </si>
  <si>
    <t>Y</t>
  </si>
  <si>
    <t>FL line</t>
  </si>
  <si>
    <t>FH Line</t>
  </si>
  <si>
    <t>Fres</t>
  </si>
  <si>
    <t>r</t>
  </si>
  <si>
    <t>c</t>
  </si>
  <si>
    <t>l</t>
  </si>
  <si>
    <t>BW</t>
  </si>
  <si>
    <t>Qfactor</t>
  </si>
  <si>
    <t>L</t>
  </si>
  <si>
    <t>C</t>
  </si>
  <si>
    <t>R</t>
  </si>
  <si>
    <t>Lr</t>
  </si>
  <si>
    <t>Xc</t>
  </si>
  <si>
    <t>ZL</t>
  </si>
  <si>
    <t>ZLC</t>
  </si>
  <si>
    <t>Vout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</si>
</sst>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quotePrefix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233814523184588E-2"/>
          <c:y val="0.12078703703703704"/>
          <c:w val="0.86354396325459315"/>
          <c:h val="0.777361111111111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Sheet1!$E$5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Sheet1!$B$6:$B$22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Sheet1!$E$6:$E$22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54-40A4-A6F0-5FA6BF8C4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1123344"/>
        <c:axId val="601127936"/>
      </c:scatterChart>
      <c:valAx>
        <c:axId val="601123344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127936"/>
        <c:crossesAt val="-50"/>
        <c:crossBetween val="midCat"/>
      </c:valAx>
      <c:valAx>
        <c:axId val="60112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123344"/>
        <c:crossesAt val="10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87205968776571"/>
          <c:y val="0.12078703703703704"/>
          <c:w val="0.81090577432276012"/>
          <c:h val="0.7310446615934802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Sheet1!$E$5</c:f>
              <c:strCache>
                <c:ptCount val="1"/>
                <c:pt idx="0">
                  <c:v>dB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Sheet1!$B$6:$B$22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2600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Sheet1!$E$6:$E$22</c:f>
              <c:numCache>
                <c:formatCode>General</c:formatCode>
                <c:ptCount val="17"/>
                <c:pt idx="0">
                  <c:v>-43.876400520322257</c:v>
                </c:pt>
                <c:pt idx="1">
                  <c:v>-37.855800607042632</c:v>
                </c:pt>
                <c:pt idx="2">
                  <c:v>-29.629721202442248</c:v>
                </c:pt>
                <c:pt idx="3">
                  <c:v>-22.102606865094948</c:v>
                </c:pt>
                <c:pt idx="4">
                  <c:v>-15.703123039046043</c:v>
                </c:pt>
                <c:pt idx="5">
                  <c:v>-6.5580428412856513</c:v>
                </c:pt>
                <c:pt idx="6">
                  <c:v>-0.35457533920863205</c:v>
                </c:pt>
                <c:pt idx="7">
                  <c:v>-6.2851652279547281</c:v>
                </c:pt>
                <c:pt idx="8">
                  <c:v>-11.869196391320898</c:v>
                </c:pt>
                <c:pt idx="9">
                  <c:v>-15.756247911920845</c:v>
                </c:pt>
                <c:pt idx="10">
                  <c:v>-18.272803386505036</c:v>
                </c:pt>
                <c:pt idx="11">
                  <c:v>-20.087296108049003</c:v>
                </c:pt>
                <c:pt idx="12">
                  <c:v>-21.514414278762366</c:v>
                </c:pt>
                <c:pt idx="13">
                  <c:v>-23.808805707294646</c:v>
                </c:pt>
                <c:pt idx="14">
                  <c:v>-26.839772066857751</c:v>
                </c:pt>
                <c:pt idx="15">
                  <c:v>-29.056817573451653</c:v>
                </c:pt>
                <c:pt idx="16">
                  <c:v>-35.442265907726529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89-40A9-8F5D-7CF20E17A6D3}"/>
            </c:ext>
          </c:extLst>
        </c:ser>
        <c:ser>
          <c:idx val="1"/>
          <c:order val="1"/>
          <c:tx>
            <c:strRef>
              <c:f>Sheet1!$D$25</c:f>
              <c:strCache>
                <c:ptCount val="1"/>
                <c:pt idx="0">
                  <c:v>-3dB line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Sheet1!$D$27:$D$28</c:f>
              <c:numCache>
                <c:formatCode>General</c:formatCode>
                <c:ptCount val="2"/>
                <c:pt idx="0">
                  <c:v>2100</c:v>
                </c:pt>
                <c:pt idx="1">
                  <c:v>2510</c:v>
                </c:pt>
              </c:numCache>
            </c:numRef>
          </c:xVal>
          <c:yVal>
            <c:numRef>
              <c:f>Sheet1!$E$27:$E$28</c:f>
              <c:numCache>
                <c:formatCode>General</c:formatCode>
                <c:ptCount val="2"/>
                <c:pt idx="0">
                  <c:v>-3.3545753392086319</c:v>
                </c:pt>
                <c:pt idx="1">
                  <c:v>-3.3545753392086319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89-40A9-8F5D-7CF20E17A6D3}"/>
            </c:ext>
          </c:extLst>
        </c:ser>
        <c:ser>
          <c:idx val="2"/>
          <c:order val="2"/>
          <c:tx>
            <c:strRef>
              <c:f>Sheet1!$D$31</c:f>
              <c:strCache>
                <c:ptCount val="1"/>
                <c:pt idx="0">
                  <c:v>FL line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Sheet1!$D$33:$D$34</c:f>
              <c:numCache>
                <c:formatCode>General</c:formatCode>
                <c:ptCount val="2"/>
                <c:pt idx="0">
                  <c:v>2138</c:v>
                </c:pt>
                <c:pt idx="1">
                  <c:v>2138</c:v>
                </c:pt>
              </c:numCache>
            </c:numRef>
          </c:xVal>
          <c:yVal>
            <c:numRef>
              <c:f>Sheet1!$E$33:$E$34</c:f>
              <c:numCache>
                <c:formatCode>General</c:formatCode>
                <c:ptCount val="2"/>
                <c:pt idx="0">
                  <c:v>-2.3545753392086319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89-40A9-8F5D-7CF20E17A6D3}"/>
            </c:ext>
          </c:extLst>
        </c:ser>
        <c:ser>
          <c:idx val="3"/>
          <c:order val="3"/>
          <c:tx>
            <c:strRef>
              <c:f>Sheet1!$D$36</c:f>
              <c:strCache>
                <c:ptCount val="1"/>
                <c:pt idx="0">
                  <c:v>FH Line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Sheet1!$D$38:$D$39</c:f>
              <c:numCache>
                <c:formatCode>General</c:formatCode>
                <c:ptCount val="2"/>
                <c:pt idx="0">
                  <c:v>2475</c:v>
                </c:pt>
                <c:pt idx="1">
                  <c:v>2475</c:v>
                </c:pt>
              </c:numCache>
            </c:numRef>
          </c:xVal>
          <c:yVal>
            <c:numRef>
              <c:f>Sheet1!$E$38:$E$39</c:f>
              <c:numCache>
                <c:formatCode>General</c:formatCode>
                <c:ptCount val="2"/>
                <c:pt idx="0">
                  <c:v>-2.3545753392086319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789-40A9-8F5D-7CF20E17A6D3}"/>
            </c:ext>
          </c:extLst>
        </c:ser>
        <c:ser>
          <c:idx val="4"/>
          <c:order val="4"/>
          <c:tx>
            <c:strRef>
              <c:f>Sheet1!$G$25</c:f>
              <c:strCache>
                <c:ptCount val="1"/>
                <c:pt idx="0">
                  <c:v>Fres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Sheet1!$G$27:$G$28</c:f>
              <c:numCache>
                <c:formatCode>General</c:formatCode>
                <c:ptCount val="2"/>
                <c:pt idx="0">
                  <c:v>2321.5134420947206</c:v>
                </c:pt>
                <c:pt idx="1">
                  <c:v>2321.5134420947206</c:v>
                </c:pt>
              </c:numCache>
            </c:numRef>
          </c:xVal>
          <c:yVal>
            <c:numRef>
              <c:f>Sheet1!$H$27:$H$28</c:f>
              <c:numCache>
                <c:formatCode>General</c:formatCode>
                <c:ptCount val="2"/>
                <c:pt idx="0">
                  <c:v>0</c:v>
                </c:pt>
                <c:pt idx="1">
                  <c:v>-10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789-40A9-8F5D-7CF20E17A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1123344"/>
        <c:axId val="601127936"/>
      </c:scatterChart>
      <c:valAx>
        <c:axId val="601123344"/>
        <c:scaling>
          <c:logBase val="10"/>
          <c:orientation val="minMax"/>
          <c:max val="26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6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Frequency (Hz)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127936"/>
        <c:crossesAt val="-50"/>
        <c:crossBetween val="midCat"/>
      </c:valAx>
      <c:valAx>
        <c:axId val="601127936"/>
        <c:scaling>
          <c:orientation val="minMax"/>
          <c:min val="-1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Attenuation (dB)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123344"/>
        <c:crossesAt val="100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Sheet2!$H$8</c:f>
              <c:strCache>
                <c:ptCount val="1"/>
                <c:pt idx="0">
                  <c:v>Vout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Sheet2!$C$9:$C$25</c:f>
              <c:numCache>
                <c:formatCode>General</c:formatCode>
                <c:ptCount val="17"/>
                <c:pt idx="0">
                  <c:v>100</c:v>
                </c:pt>
                <c:pt idx="1">
                  <c:v>200</c:v>
                </c:pt>
                <c:pt idx="2">
                  <c:v>500</c:v>
                </c:pt>
                <c:pt idx="3">
                  <c:v>1000</c:v>
                </c:pt>
                <c:pt idx="4">
                  <c:v>1500</c:v>
                </c:pt>
                <c:pt idx="5">
                  <c:v>2000</c:v>
                </c:pt>
                <c:pt idx="6">
                  <c:v>2300</c:v>
                </c:pt>
                <c:pt idx="7">
                  <c:v>2601</c:v>
                </c:pt>
                <c:pt idx="8">
                  <c:v>3000</c:v>
                </c:pt>
                <c:pt idx="9">
                  <c:v>3500</c:v>
                </c:pt>
                <c:pt idx="10">
                  <c:v>4000</c:v>
                </c:pt>
                <c:pt idx="11">
                  <c:v>4500</c:v>
                </c:pt>
                <c:pt idx="12">
                  <c:v>5000</c:v>
                </c:pt>
                <c:pt idx="13">
                  <c:v>6000</c:v>
                </c:pt>
                <c:pt idx="14">
                  <c:v>8000</c:v>
                </c:pt>
                <c:pt idx="15">
                  <c:v>10000</c:v>
                </c:pt>
                <c:pt idx="16">
                  <c:v>20000</c:v>
                </c:pt>
              </c:numCache>
            </c:numRef>
          </c:xVal>
          <c:yVal>
            <c:numRef>
              <c:f>Sheet2!$H$9:$H$25</c:f>
              <c:numCache>
                <c:formatCode>General</c:formatCode>
                <c:ptCount val="17"/>
                <c:pt idx="0">
                  <c:v>2.3996499552219327E-2</c:v>
                </c:pt>
                <c:pt idx="1">
                  <c:v>2.4411867922855698E-2</c:v>
                </c:pt>
                <c:pt idx="2">
                  <c:v>2.7189454221521726E-2</c:v>
                </c:pt>
                <c:pt idx="3">
                  <c:v>3.5917874650318878E-2</c:v>
                </c:pt>
                <c:pt idx="4">
                  <c:v>4.8600541738640923E-2</c:v>
                </c:pt>
                <c:pt idx="5">
                  <c:v>6.532817503197956E-2</c:v>
                </c:pt>
                <c:pt idx="6">
                  <c:v>7.7891108194235337E-2</c:v>
                </c:pt>
                <c:pt idx="7">
                  <c:v>9.3131621790401048E-2</c:v>
                </c:pt>
                <c:pt idx="8">
                  <c:v>0.11917658173817344</c:v>
                </c:pt>
                <c:pt idx="9">
                  <c:v>0.16742584984355355</c:v>
                </c:pt>
                <c:pt idx="10">
                  <c:v>0.24987876055401004</c:v>
                </c:pt>
                <c:pt idx="11">
                  <c:v>0.40414144164281152</c:v>
                </c:pt>
                <c:pt idx="12">
                  <c:v>0.57958865509095681</c:v>
                </c:pt>
                <c:pt idx="13">
                  <c:v>0.31036331005705936</c:v>
                </c:pt>
                <c:pt idx="14">
                  <c:v>0.12973456922833917</c:v>
                </c:pt>
                <c:pt idx="15">
                  <c:v>8.4877286773547472E-2</c:v>
                </c:pt>
                <c:pt idx="16">
                  <c:v>3.3975430266999937E-2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7D-4DFD-9F72-86D11B9E2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9633264"/>
        <c:axId val="809633920"/>
      </c:scatterChart>
      <c:valAx>
        <c:axId val="809633264"/>
        <c:scaling>
          <c:logBase val="10"/>
          <c:orientation val="minMax"/>
          <c:max val="2000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633920"/>
        <c:crosses val="autoZero"/>
        <c:crossBetween val="midCat"/>
      </c:valAx>
      <c:valAx>
        <c:axId val="80963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633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306788</xdr:colOff>
      <xdr:row>2</xdr:row>
      <xdr:rowOff>118935</xdr:rowOff>
    </xdr:from>
    <xdr:to>
      <xdr:col>16</xdr:col>
      <xdr:colOff>344888</xdr:colOff>
      <xdr:row>17</xdr:row>
      <xdr:rowOff>145128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218741</xdr:colOff>
      <xdr:row>24</xdr:row>
      <xdr:rowOff>2806</xdr:rowOff>
    </xdr:from>
    <xdr:to>
      <xdr:col>16</xdr:col>
      <xdr:colOff>256841</xdr:colOff>
      <xdr:row>39</xdr:row>
      <xdr:rowOff>28998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378581</xdr:colOff>
      <xdr:row>38</xdr:row>
      <xdr:rowOff>13286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96591" y="6336880"/>
          <a:ext cx="1028013" cy="5564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869156</xdr:colOff>
      <xdr:row>14</xdr:row>
      <xdr:rowOff>21431</xdr:rowOff>
    </xdr:from>
    <xdr:to>
      <xdr:col>7</xdr:col>
      <xdr:colOff>397668</xdr:colOff>
      <xdr:row>29</xdr:row>
      <xdr:rowOff>50006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39"/>
  <sheetViews>
    <sheetView zoomScale="85" zoomScaleNormal="85" workbookViewId="0">
      <selection activeCell="B5" sqref="B5:H22"/>
    </sheetView>
  </sheetViews>
  <sheetFormatPr defaultRowHeight="14.25" x14ac:dyDescent="0.45"/>
  <sheetData>
    <row r="5" spans="2:8" x14ac:dyDescent="0.45">
      <c r="B5" t="s">
        <v>0</v>
      </c>
      <c r="C5" t="s">
        <v>1</v>
      </c>
      <c r="D5" t="s">
        <v>2</v>
      </c>
      <c r="E5" t="s">
        <v>3</v>
      </c>
      <c r="G5" t="s">
        <v>10</v>
      </c>
      <c r="H5">
        <v>100</v>
      </c>
    </row>
    <row r="6" spans="2:8" x14ac:dyDescent="0.45">
      <c r="B6">
        <v>100</v>
      </c>
      <c r="C6">
        <v>2</v>
      </c>
      <c r="D6">
        <f>0.0064*2</f>
        <v>1.2800000000000001E-2</v>
      </c>
      <c r="E6">
        <f>20*LOG10(D6/C6)</f>
        <v>-43.876400520322257</v>
      </c>
      <c r="G6" t="s">
        <v>11</v>
      </c>
      <c r="H6" s="3">
        <v>4.6999999999999999E-6</v>
      </c>
    </row>
    <row r="7" spans="2:8" x14ac:dyDescent="0.45">
      <c r="B7">
        <v>200</v>
      </c>
      <c r="C7">
        <v>2</v>
      </c>
      <c r="D7">
        <f>0.0128*2</f>
        <v>2.5600000000000001E-2</v>
      </c>
      <c r="E7">
        <f t="shared" ref="E7:E22" si="0">20*LOG10(D7/C7)</f>
        <v>-37.855800607042632</v>
      </c>
      <c r="G7" t="s">
        <v>12</v>
      </c>
      <c r="H7" s="3">
        <v>1E-3</v>
      </c>
    </row>
    <row r="8" spans="2:8" x14ac:dyDescent="0.45">
      <c r="B8">
        <v>500</v>
      </c>
      <c r="C8">
        <v>2</v>
      </c>
      <c r="D8" s="1">
        <v>6.6000000000000003E-2</v>
      </c>
      <c r="E8">
        <f t="shared" si="0"/>
        <v>-29.629721202442248</v>
      </c>
    </row>
    <row r="9" spans="2:8" x14ac:dyDescent="0.45">
      <c r="B9">
        <v>1000</v>
      </c>
      <c r="C9">
        <v>2</v>
      </c>
      <c r="D9">
        <f>0.0785*2</f>
        <v>0.157</v>
      </c>
      <c r="E9">
        <f t="shared" si="0"/>
        <v>-22.102606865094948</v>
      </c>
      <c r="G9" t="s">
        <v>9</v>
      </c>
      <c r="H9" s="1">
        <f>1/(2*PI()*SQRT(H7*H6))</f>
        <v>2321.5134420947206</v>
      </c>
    </row>
    <row r="10" spans="2:8" x14ac:dyDescent="0.45">
      <c r="B10">
        <v>1500</v>
      </c>
      <c r="C10">
        <v>2</v>
      </c>
      <c r="D10">
        <f>0.164*2</f>
        <v>0.32800000000000001</v>
      </c>
      <c r="E10">
        <f t="shared" si="0"/>
        <v>-15.703123039046043</v>
      </c>
    </row>
    <row r="11" spans="2:8" x14ac:dyDescent="0.45">
      <c r="B11">
        <v>2000</v>
      </c>
      <c r="C11">
        <v>2</v>
      </c>
      <c r="D11">
        <f>0.47*2</f>
        <v>0.94</v>
      </c>
      <c r="E11">
        <f t="shared" si="0"/>
        <v>-6.5580428412856513</v>
      </c>
    </row>
    <row r="12" spans="2:8" x14ac:dyDescent="0.45">
      <c r="B12">
        <v>2300</v>
      </c>
      <c r="C12">
        <v>2</v>
      </c>
      <c r="D12">
        <f>0.96*2</f>
        <v>1.92</v>
      </c>
      <c r="E12">
        <f t="shared" si="0"/>
        <v>-0.35457533920863205</v>
      </c>
    </row>
    <row r="13" spans="2:8" x14ac:dyDescent="0.45">
      <c r="B13">
        <v>2600</v>
      </c>
      <c r="C13">
        <v>2</v>
      </c>
      <c r="D13">
        <f>0.485*2</f>
        <v>0.97</v>
      </c>
      <c r="E13">
        <f t="shared" si="0"/>
        <v>-6.2851652279547281</v>
      </c>
    </row>
    <row r="14" spans="2:8" x14ac:dyDescent="0.45">
      <c r="B14">
        <v>3000</v>
      </c>
      <c r="C14">
        <v>2</v>
      </c>
      <c r="D14">
        <f>0.255*2</f>
        <v>0.51</v>
      </c>
      <c r="E14">
        <f t="shared" si="0"/>
        <v>-11.869196391320898</v>
      </c>
    </row>
    <row r="15" spans="2:8" x14ac:dyDescent="0.45">
      <c r="B15">
        <v>3500</v>
      </c>
      <c r="C15">
        <v>2</v>
      </c>
      <c r="D15">
        <f>0.163*2</f>
        <v>0.32600000000000001</v>
      </c>
      <c r="E15">
        <f t="shared" si="0"/>
        <v>-15.756247911920845</v>
      </c>
    </row>
    <row r="16" spans="2:8" x14ac:dyDescent="0.45">
      <c r="B16">
        <v>4000</v>
      </c>
      <c r="C16">
        <v>2</v>
      </c>
      <c r="D16">
        <f>0.122*2</f>
        <v>0.24399999999999999</v>
      </c>
      <c r="E16">
        <f t="shared" si="0"/>
        <v>-18.272803386505036</v>
      </c>
    </row>
    <row r="17" spans="2:8" x14ac:dyDescent="0.45">
      <c r="B17">
        <v>4500</v>
      </c>
      <c r="C17">
        <v>2</v>
      </c>
      <c r="D17">
        <f>0.099*2</f>
        <v>0.19800000000000001</v>
      </c>
      <c r="E17">
        <f t="shared" si="0"/>
        <v>-20.087296108049003</v>
      </c>
    </row>
    <row r="18" spans="2:8" x14ac:dyDescent="0.45">
      <c r="B18">
        <v>5000</v>
      </c>
      <c r="C18">
        <v>2</v>
      </c>
      <c r="D18">
        <f>0.084*2</f>
        <v>0.16800000000000001</v>
      </c>
      <c r="E18">
        <f t="shared" si="0"/>
        <v>-21.514414278762366</v>
      </c>
    </row>
    <row r="19" spans="2:8" x14ac:dyDescent="0.45">
      <c r="B19">
        <v>6000</v>
      </c>
      <c r="C19">
        <v>2</v>
      </c>
      <c r="D19">
        <f>0.0645*2</f>
        <v>0.129</v>
      </c>
      <c r="E19">
        <f t="shared" si="0"/>
        <v>-23.808805707294646</v>
      </c>
    </row>
    <row r="20" spans="2:8" x14ac:dyDescent="0.45">
      <c r="B20">
        <v>8000</v>
      </c>
      <c r="C20">
        <v>2</v>
      </c>
      <c r="D20">
        <f>0.0455*2</f>
        <v>9.0999999999999998E-2</v>
      </c>
      <c r="E20">
        <f t="shared" si="0"/>
        <v>-26.839772066857751</v>
      </c>
    </row>
    <row r="21" spans="2:8" x14ac:dyDescent="0.45">
      <c r="B21">
        <v>10000</v>
      </c>
      <c r="C21">
        <v>2</v>
      </c>
      <c r="D21">
        <f>0.03525*2</f>
        <v>7.0499999999999993E-2</v>
      </c>
      <c r="E21">
        <f t="shared" si="0"/>
        <v>-29.056817573451653</v>
      </c>
    </row>
    <row r="22" spans="2:8" x14ac:dyDescent="0.45">
      <c r="B22">
        <v>20000</v>
      </c>
      <c r="C22">
        <v>2</v>
      </c>
      <c r="D22">
        <f>0.0169*2</f>
        <v>3.3799999999999997E-2</v>
      </c>
      <c r="E22">
        <f t="shared" si="0"/>
        <v>-35.442265907726529</v>
      </c>
    </row>
    <row r="25" spans="2:8" x14ac:dyDescent="0.45">
      <c r="D25" s="2" t="s">
        <v>4</v>
      </c>
      <c r="G25" t="s">
        <v>9</v>
      </c>
    </row>
    <row r="26" spans="2:8" x14ac:dyDescent="0.45">
      <c r="D26" t="s">
        <v>5</v>
      </c>
      <c r="E26" t="s">
        <v>6</v>
      </c>
      <c r="G26" t="s">
        <v>5</v>
      </c>
      <c r="H26" t="s">
        <v>6</v>
      </c>
    </row>
    <row r="27" spans="2:8" x14ac:dyDescent="0.45">
      <c r="D27">
        <v>2100</v>
      </c>
      <c r="E27">
        <f>MAX(E6:E22)-3</f>
        <v>-3.3545753392086319</v>
      </c>
      <c r="G27">
        <f>H9</f>
        <v>2321.5134420947206</v>
      </c>
      <c r="H27">
        <v>0</v>
      </c>
    </row>
    <row r="28" spans="2:8" x14ac:dyDescent="0.45">
      <c r="D28">
        <v>2510</v>
      </c>
      <c r="E28">
        <f>E27</f>
        <v>-3.3545753392086319</v>
      </c>
      <c r="G28">
        <f>G27</f>
        <v>2321.5134420947206</v>
      </c>
      <c r="H28">
        <v>-10</v>
      </c>
    </row>
    <row r="31" spans="2:8" x14ac:dyDescent="0.45">
      <c r="D31" t="s">
        <v>7</v>
      </c>
    </row>
    <row r="32" spans="2:8" x14ac:dyDescent="0.45">
      <c r="D32" t="s">
        <v>5</v>
      </c>
      <c r="E32" t="s">
        <v>6</v>
      </c>
      <c r="G32" t="s">
        <v>13</v>
      </c>
      <c r="H32">
        <f>D38-D33</f>
        <v>337</v>
      </c>
    </row>
    <row r="33" spans="4:8" x14ac:dyDescent="0.45">
      <c r="D33">
        <v>2138</v>
      </c>
      <c r="E33">
        <f>E27+1</f>
        <v>-2.3545753392086319</v>
      </c>
      <c r="G33" t="s">
        <v>14</v>
      </c>
      <c r="H33">
        <f>G28/H32</f>
        <v>6.8887639231297344</v>
      </c>
    </row>
    <row r="34" spans="4:8" x14ac:dyDescent="0.45">
      <c r="D34">
        <f>D33</f>
        <v>2138</v>
      </c>
      <c r="E34">
        <v>-10</v>
      </c>
    </row>
    <row r="36" spans="4:8" x14ac:dyDescent="0.45">
      <c r="D36" t="s">
        <v>8</v>
      </c>
    </row>
    <row r="37" spans="4:8" x14ac:dyDescent="0.45">
      <c r="D37" t="s">
        <v>5</v>
      </c>
      <c r="E37" t="s">
        <v>6</v>
      </c>
    </row>
    <row r="38" spans="4:8" x14ac:dyDescent="0.45">
      <c r="D38">
        <v>2475</v>
      </c>
      <c r="E38">
        <f>E33</f>
        <v>-2.3545753392086319</v>
      </c>
    </row>
    <row r="39" spans="4:8" x14ac:dyDescent="0.45">
      <c r="D39">
        <f>D38</f>
        <v>2475</v>
      </c>
      <c r="E39">
        <v>-10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tabSelected="1" topLeftCell="A7" workbookViewId="0">
      <selection activeCell="G9" sqref="G9"/>
    </sheetView>
  </sheetViews>
  <sheetFormatPr defaultRowHeight="14.25" x14ac:dyDescent="0.45"/>
  <cols>
    <col min="5" max="5" width="19.73046875" bestFit="1" customWidth="1"/>
    <col min="6" max="6" width="17.3984375" bestFit="1" customWidth="1"/>
    <col min="7" max="7" width="33.46484375" bestFit="1" customWidth="1"/>
    <col min="8" max="8" width="11.73046875" bestFit="1" customWidth="1"/>
  </cols>
  <sheetData>
    <row r="1" spans="2:8" x14ac:dyDescent="0.45">
      <c r="B1" t="s">
        <v>17</v>
      </c>
      <c r="C1">
        <v>1000</v>
      </c>
    </row>
    <row r="2" spans="2:8" x14ac:dyDescent="0.45">
      <c r="B2" t="s">
        <v>16</v>
      </c>
      <c r="C2" s="3">
        <v>9.9999999999999995E-7</v>
      </c>
    </row>
    <row r="3" spans="2:8" x14ac:dyDescent="0.45">
      <c r="B3" t="s">
        <v>15</v>
      </c>
      <c r="C3" s="3">
        <v>1E-3</v>
      </c>
    </row>
    <row r="4" spans="2:8" x14ac:dyDescent="0.45">
      <c r="B4" t="s">
        <v>18</v>
      </c>
      <c r="C4">
        <v>6</v>
      </c>
    </row>
    <row r="5" spans="2:8" x14ac:dyDescent="0.45">
      <c r="B5" t="s">
        <v>9</v>
      </c>
      <c r="C5" s="1">
        <f>1/(2*PI()*SQRT(C3*C2))</f>
        <v>5032.9212104487033</v>
      </c>
    </row>
    <row r="6" spans="2:8" x14ac:dyDescent="0.45">
      <c r="D6" s="1"/>
    </row>
    <row r="8" spans="2:8" x14ac:dyDescent="0.45">
      <c r="C8" t="s">
        <v>0</v>
      </c>
      <c r="D8" t="s">
        <v>1</v>
      </c>
      <c r="E8" t="s">
        <v>20</v>
      </c>
      <c r="F8" t="s">
        <v>19</v>
      </c>
      <c r="G8" t="s">
        <v>21</v>
      </c>
      <c r="H8" t="s">
        <v>22</v>
      </c>
    </row>
    <row r="9" spans="2:8" x14ac:dyDescent="0.45">
      <c r="C9">
        <v>100</v>
      </c>
      <c r="D9">
        <v>4</v>
      </c>
      <c r="E9" t="str">
        <f>COMPLEX($C$4,2*PI()*C9*$C$3,"j")</f>
        <v>6+0.628318530717959j</v>
      </c>
      <c r="F9" t="str">
        <f>COMPLEX(0,-1/(2*PI()*C9*$C$2),"j")</f>
        <v>-1591.54943091895j</v>
      </c>
      <c r="G9" t="str">
        <f>IMDIV(IMPRODUCT(E9,F9),IMSUM(E9,F9))</f>
        <v>6.0046548100132+0.605920723305281j</v>
      </c>
      <c r="H9">
        <f>D9*IMABS(IMDIV(G9,IMSUM(COMPLEX($C$1,0,"j"),G9)))</f>
        <v>2.3996499552219327E-2</v>
      </c>
    </row>
    <row r="10" spans="2:8" x14ac:dyDescent="0.45">
      <c r="C10">
        <v>200</v>
      </c>
      <c r="D10">
        <v>4</v>
      </c>
      <c r="E10" t="str">
        <f t="shared" ref="E10:E25" si="0">COMPLEX($C$4,2*PI()*C10*$C$3,"j")</f>
        <v>6+1.25663706143592j</v>
      </c>
      <c r="F10" t="str">
        <f t="shared" ref="F10:F25" si="1">COMPLEX(0,-1/(2*PI()*C10*$C$2),"j")</f>
        <v>-795.774715459477j</v>
      </c>
      <c r="G10" t="str">
        <f t="shared" ref="G10:G25" si="2">IMDIV(IMPRODUCT(E10,F10),IMSUM(E10,F10))</f>
        <v>6.01865138423494+1.21317326553229j</v>
      </c>
      <c r="H10">
        <f t="shared" ref="H10:H25" si="3">D10*IMABS(IMDIV(G10,IMSUM(COMPLEX($C$1,0,"j"),G10)))</f>
        <v>2.4411867922855698E-2</v>
      </c>
    </row>
    <row r="11" spans="2:8" x14ac:dyDescent="0.45">
      <c r="C11">
        <v>500</v>
      </c>
      <c r="D11">
        <v>4</v>
      </c>
      <c r="E11" t="str">
        <f t="shared" si="0"/>
        <v>6+3.14159265358979j</v>
      </c>
      <c r="F11" t="str">
        <f t="shared" si="1"/>
        <v>-318.309886183791j</v>
      </c>
      <c r="G11" t="str">
        <f t="shared" si="2"/>
        <v>6.1179946671507+3.05643699500117j</v>
      </c>
      <c r="H11">
        <f t="shared" si="3"/>
        <v>2.7189454221521726E-2</v>
      </c>
    </row>
    <row r="12" spans="2:8" x14ac:dyDescent="0.45">
      <c r="C12">
        <v>1000</v>
      </c>
      <c r="D12">
        <v>4</v>
      </c>
      <c r="E12" t="str">
        <f t="shared" si="0"/>
        <v>6+6.28318530717959j</v>
      </c>
      <c r="F12" t="str">
        <f t="shared" si="1"/>
        <v>-159.154943091895j</v>
      </c>
      <c r="G12" t="str">
        <f t="shared" si="2"/>
        <v>6.49334533147521+6.28657602906975j</v>
      </c>
      <c r="H12">
        <f t="shared" si="3"/>
        <v>3.5917874650318878E-2</v>
      </c>
    </row>
    <row r="13" spans="2:8" x14ac:dyDescent="0.45">
      <c r="C13">
        <v>1500</v>
      </c>
      <c r="D13">
        <v>4</v>
      </c>
      <c r="E13" t="str">
        <f t="shared" si="0"/>
        <v>6+9.42477796076938j</v>
      </c>
      <c r="F13" t="str">
        <f t="shared" si="1"/>
        <v>-106.103295394597j</v>
      </c>
      <c r="G13" t="str">
        <f t="shared" si="2"/>
        <v>7.1991216295826+9.89677226771085j</v>
      </c>
      <c r="H13">
        <f t="shared" si="3"/>
        <v>4.8600541738640923E-2</v>
      </c>
    </row>
    <row r="14" spans="2:8" x14ac:dyDescent="0.45">
      <c r="C14">
        <v>2000</v>
      </c>
      <c r="D14">
        <v>4</v>
      </c>
      <c r="E14" t="str">
        <f t="shared" si="0"/>
        <v>6+12.5663706143592j</v>
      </c>
      <c r="F14" t="str">
        <f t="shared" si="1"/>
        <v>-79.5774715459477j</v>
      </c>
      <c r="G14" t="str">
        <f t="shared" si="2"/>
        <v>8.39402353878759+14.1713215506899j</v>
      </c>
      <c r="H14">
        <f t="shared" si="3"/>
        <v>6.532817503197956E-2</v>
      </c>
    </row>
    <row r="15" spans="2:8" x14ac:dyDescent="0.45">
      <c r="C15">
        <v>2300</v>
      </c>
      <c r="D15">
        <v>4</v>
      </c>
      <c r="E15" t="str">
        <f t="shared" si="0"/>
        <v>6+14.451326206513j</v>
      </c>
      <c r="F15" t="str">
        <f t="shared" si="1"/>
        <v>-69.1978013443023j</v>
      </c>
      <c r="G15" t="str">
        <f t="shared" si="2"/>
        <v>9.47192287897426+17.227930389168j</v>
      </c>
      <c r="H15">
        <f t="shared" si="3"/>
        <v>7.7891108194235337E-2</v>
      </c>
    </row>
    <row r="16" spans="2:8" x14ac:dyDescent="0.45">
      <c r="C16">
        <v>2601</v>
      </c>
      <c r="D16">
        <v>4</v>
      </c>
      <c r="E16" t="str">
        <f t="shared" si="0"/>
        <v>6+16.3425649839741j</v>
      </c>
      <c r="F16" t="str">
        <f t="shared" si="1"/>
        <v>-61.1899050718552j</v>
      </c>
      <c r="G16" t="str">
        <f t="shared" si="2"/>
        <v>10.9731858654408+20.8297946539708j</v>
      </c>
      <c r="H16">
        <f t="shared" si="3"/>
        <v>9.3131621790401048E-2</v>
      </c>
    </row>
    <row r="17" spans="3:8" x14ac:dyDescent="0.45">
      <c r="C17">
        <v>3000</v>
      </c>
      <c r="D17">
        <v>4</v>
      </c>
      <c r="E17" t="str">
        <f t="shared" si="0"/>
        <v>6+18.8495559215388j</v>
      </c>
      <c r="F17" t="str">
        <f t="shared" si="1"/>
        <v>-53.0516476972984j</v>
      </c>
      <c r="G17" t="str">
        <f t="shared" si="2"/>
        <v>14.0048937447819+26.7811291641669j</v>
      </c>
      <c r="H17">
        <f t="shared" si="3"/>
        <v>0.11917658173817344</v>
      </c>
    </row>
    <row r="18" spans="3:8" x14ac:dyDescent="0.45">
      <c r="C18">
        <v>3500</v>
      </c>
      <c r="D18">
        <v>4</v>
      </c>
      <c r="E18" t="str">
        <f t="shared" si="0"/>
        <v>6+21.9911485751286j</v>
      </c>
      <c r="F18" t="str">
        <f t="shared" si="1"/>
        <v>-45.4728408833987j</v>
      </c>
      <c r="G18" t="str">
        <f t="shared" si="2"/>
        <v>21.1217048580191+37.1893882002842j</v>
      </c>
      <c r="H18">
        <f t="shared" si="3"/>
        <v>0.16742584984355355</v>
      </c>
    </row>
    <row r="19" spans="3:8" x14ac:dyDescent="0.45">
      <c r="C19">
        <v>4000</v>
      </c>
      <c r="D19">
        <v>4</v>
      </c>
      <c r="E19" t="str">
        <f t="shared" si="0"/>
        <v>6+25.1327412287183j</v>
      </c>
      <c r="F19" t="str">
        <f t="shared" si="1"/>
        <v>-39.7887357729738j</v>
      </c>
      <c r="G19" t="str">
        <f t="shared" si="2"/>
        <v>37.8745217165852+52.7260615011194j</v>
      </c>
      <c r="H19">
        <f t="shared" si="3"/>
        <v>0.24987876055401004</v>
      </c>
    </row>
    <row r="20" spans="3:8" x14ac:dyDescent="0.45">
      <c r="C20">
        <v>4500</v>
      </c>
      <c r="D20">
        <v>4</v>
      </c>
      <c r="E20" t="str">
        <f t="shared" si="0"/>
        <v>6+28.2743338823081j</v>
      </c>
      <c r="F20" t="str">
        <f t="shared" si="1"/>
        <v>-35.3677651315323j</v>
      </c>
      <c r="G20" t="str">
        <f t="shared" si="2"/>
        <v>86.9503473430589+67.428286697493j</v>
      </c>
      <c r="H20">
        <f t="shared" si="3"/>
        <v>0.40414144164281152</v>
      </c>
    </row>
    <row r="21" spans="3:8" x14ac:dyDescent="0.45">
      <c r="C21">
        <v>5000</v>
      </c>
      <c r="D21">
        <v>4</v>
      </c>
      <c r="E21" t="str">
        <f t="shared" si="0"/>
        <v>6+31.4159265358979j</v>
      </c>
      <c r="F21" t="str">
        <f t="shared" si="1"/>
        <v>-31.8309886183791j</v>
      </c>
      <c r="G21" t="str">
        <f t="shared" si="2"/>
        <v>168.064374193023-20.2047970944699j</v>
      </c>
      <c r="H21">
        <f t="shared" si="3"/>
        <v>0.57958865509095681</v>
      </c>
    </row>
    <row r="22" spans="3:8" x14ac:dyDescent="0.45">
      <c r="C22">
        <v>6000</v>
      </c>
      <c r="D22">
        <v>4</v>
      </c>
      <c r="E22" t="str">
        <f t="shared" si="0"/>
        <v>6+37.6991118430775j</v>
      </c>
      <c r="F22" t="str">
        <f t="shared" si="1"/>
        <v>-26.5258238486492j</v>
      </c>
      <c r="G22" t="str">
        <f t="shared" si="2"/>
        <v>26.2475374285096-75.4043729875281j</v>
      </c>
      <c r="H22">
        <f t="shared" si="3"/>
        <v>0.31036331005705936</v>
      </c>
    </row>
    <row r="23" spans="3:8" x14ac:dyDescent="0.45">
      <c r="C23">
        <v>8000</v>
      </c>
      <c r="D23">
        <v>4</v>
      </c>
      <c r="E23" t="str">
        <f t="shared" si="0"/>
        <v>6+50.2654824574367j</v>
      </c>
      <c r="F23" t="str">
        <f t="shared" si="1"/>
        <v>-19.8943678864869j</v>
      </c>
      <c r="G23" t="str">
        <f t="shared" si="2"/>
        <v>2.47777946904591-32.4365219091436j</v>
      </c>
      <c r="H23">
        <f t="shared" si="3"/>
        <v>0.12973456922833917</v>
      </c>
    </row>
    <row r="24" spans="3:8" x14ac:dyDescent="0.45">
      <c r="C24">
        <v>10000</v>
      </c>
      <c r="D24">
        <v>4</v>
      </c>
      <c r="E24" t="str">
        <f t="shared" si="0"/>
        <v>6+62.8318530717959j</v>
      </c>
      <c r="F24" t="str">
        <f t="shared" si="1"/>
        <v>-15.9154943091895j</v>
      </c>
      <c r="G24" t="str">
        <f t="shared" si="2"/>
        <v>0.679356029746023-21.2276461790402j</v>
      </c>
      <c r="H24">
        <f t="shared" si="3"/>
        <v>8.4877286773547472E-2</v>
      </c>
    </row>
    <row r="25" spans="3:8" x14ac:dyDescent="0.45">
      <c r="C25">
        <v>20000</v>
      </c>
      <c r="D25">
        <v>4</v>
      </c>
      <c r="E25" t="str">
        <f t="shared" si="0"/>
        <v>6+125.663706143592j</v>
      </c>
      <c r="F25" t="str">
        <f t="shared" si="1"/>
        <v>-7.95774715459477j</v>
      </c>
      <c r="G25" t="str">
        <f t="shared" si="2"/>
        <v>0.0273531669467391-8.49435227907011j</v>
      </c>
      <c r="H25">
        <f t="shared" si="3"/>
        <v>3.3975430266999937E-2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2019-11-28T09:26:59Z</dcterms:created>
  <dcterms:modified xsi:type="dcterms:W3CDTF">2019-11-28T12:55:45Z</dcterms:modified>
</cp:coreProperties>
</file>