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6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rd Year Automotive Engineering\Alternative Powertrains\"/>
    </mc:Choice>
  </mc:AlternateContent>
  <bookViews>
    <workbookView xWindow="0" yWindow="0" windowWidth="18240" windowHeight="9810"/>
  </bookViews>
  <sheets>
    <sheet name="Sheet1" sheetId="1" r:id="rId1"/>
  </sheets>
  <definedNames>
    <definedName name="_Toc25931223" localSheetId="0">Sheet1!$BF$4</definedName>
    <definedName name="_xlcn.WorksheetConnection_Sheet1O2P141" hidden="1">Sheet1!$O$2:$P$14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1!$O$2:$P$14"/>
        </x15:modelTables>
      </x15:dataModel>
    </ext>
  </extLst>
</workbook>
</file>

<file path=xl/calcChain.xml><?xml version="1.0" encoding="utf-8"?>
<calcChain xmlns="http://schemas.openxmlformats.org/spreadsheetml/2006/main">
  <c r="D34" i="1" l="1"/>
  <c r="D35" i="1" s="1"/>
  <c r="AX26" i="1"/>
  <c r="AY26" i="1" s="1"/>
  <c r="AZ26" i="1" s="1"/>
  <c r="BA26" i="1" s="1"/>
  <c r="BB26" i="1" s="1"/>
  <c r="BC26" i="1" s="1"/>
  <c r="BD26" i="1" s="1"/>
  <c r="AX27" i="1"/>
  <c r="AX28" i="1"/>
  <c r="AX29" i="1"/>
  <c r="AX30" i="1"/>
  <c r="AX31" i="1"/>
  <c r="AX32" i="1"/>
  <c r="AX33" i="1"/>
  <c r="AX34" i="1"/>
  <c r="AY34" i="1" s="1"/>
  <c r="AZ34" i="1" s="1"/>
  <c r="BA34" i="1" s="1"/>
  <c r="BB34" i="1" s="1"/>
  <c r="BC34" i="1" s="1"/>
  <c r="BD34" i="1" s="1"/>
  <c r="AX35" i="1"/>
  <c r="AX36" i="1"/>
  <c r="AX37" i="1"/>
  <c r="AX38" i="1"/>
  <c r="AX39" i="1"/>
  <c r="AX40" i="1"/>
  <c r="AX25" i="1"/>
  <c r="Y24" i="1"/>
  <c r="W26" i="1"/>
  <c r="T24" i="1"/>
  <c r="AY40" i="1" l="1"/>
  <c r="AZ40" i="1" s="1"/>
  <c r="BA40" i="1" s="1"/>
  <c r="BB40" i="1" s="1"/>
  <c r="BC40" i="1" s="1"/>
  <c r="BD40" i="1" s="1"/>
  <c r="AY32" i="1"/>
  <c r="AZ32" i="1" s="1"/>
  <c r="BA32" i="1" s="1"/>
  <c r="BB32" i="1" s="1"/>
  <c r="BC32" i="1" s="1"/>
  <c r="BD32" i="1" s="1"/>
  <c r="AY33" i="1"/>
  <c r="AZ33" i="1" s="1"/>
  <c r="BA33" i="1" s="1"/>
  <c r="BB33" i="1" s="1"/>
  <c r="BC33" i="1" s="1"/>
  <c r="BD33" i="1" s="1"/>
  <c r="AY25" i="1"/>
  <c r="AZ25" i="1" s="1"/>
  <c r="BA25" i="1" s="1"/>
  <c r="BB25" i="1" s="1"/>
  <c r="BC25" i="1" s="1"/>
  <c r="BD25" i="1" s="1"/>
  <c r="AY39" i="1"/>
  <c r="AZ39" i="1" s="1"/>
  <c r="BA39" i="1" s="1"/>
  <c r="BB39" i="1" s="1"/>
  <c r="BC39" i="1" s="1"/>
  <c r="BD39" i="1" s="1"/>
  <c r="AY38" i="1"/>
  <c r="AZ38" i="1" s="1"/>
  <c r="BA38" i="1" s="1"/>
  <c r="BB38" i="1" s="1"/>
  <c r="BC38" i="1" s="1"/>
  <c r="BD38" i="1" s="1"/>
  <c r="AY30" i="1"/>
  <c r="AZ30" i="1" s="1"/>
  <c r="BA30" i="1" s="1"/>
  <c r="BB30" i="1" s="1"/>
  <c r="BC30" i="1" s="1"/>
  <c r="BD30" i="1" s="1"/>
  <c r="AY37" i="1"/>
  <c r="AZ37" i="1" s="1"/>
  <c r="BA37" i="1" s="1"/>
  <c r="BB37" i="1" s="1"/>
  <c r="BC37" i="1" s="1"/>
  <c r="BD37" i="1" s="1"/>
  <c r="AY29" i="1"/>
  <c r="AZ29" i="1" s="1"/>
  <c r="BA29" i="1" s="1"/>
  <c r="BB29" i="1" s="1"/>
  <c r="BC29" i="1" s="1"/>
  <c r="BD29" i="1" s="1"/>
  <c r="AY31" i="1"/>
  <c r="AZ31" i="1" s="1"/>
  <c r="BA31" i="1" s="1"/>
  <c r="BB31" i="1" s="1"/>
  <c r="BC31" i="1" s="1"/>
  <c r="BD31" i="1" s="1"/>
  <c r="AY36" i="1"/>
  <c r="AZ36" i="1" s="1"/>
  <c r="BA36" i="1" s="1"/>
  <c r="BB36" i="1" s="1"/>
  <c r="BC36" i="1" s="1"/>
  <c r="BD36" i="1" s="1"/>
  <c r="AY28" i="1"/>
  <c r="AZ28" i="1" s="1"/>
  <c r="BA28" i="1" s="1"/>
  <c r="BB28" i="1" s="1"/>
  <c r="BC28" i="1" s="1"/>
  <c r="BD28" i="1" s="1"/>
  <c r="AY35" i="1"/>
  <c r="AZ35" i="1" s="1"/>
  <c r="BA35" i="1" s="1"/>
  <c r="BB35" i="1" s="1"/>
  <c r="BC35" i="1" s="1"/>
  <c r="BD35" i="1" s="1"/>
  <c r="AY27" i="1"/>
  <c r="AZ27" i="1" s="1"/>
  <c r="BA27" i="1" s="1"/>
  <c r="BB27" i="1" s="1"/>
  <c r="BC27" i="1" s="1"/>
  <c r="BD27" i="1" s="1"/>
  <c r="T27" i="1"/>
  <c r="C11" i="1" l="1"/>
  <c r="AL31" i="1"/>
  <c r="AL40" i="1"/>
  <c r="N40" i="1"/>
  <c r="N36" i="1"/>
  <c r="AL36" i="1" s="1"/>
  <c r="N35" i="1"/>
  <c r="AL35" i="1" s="1"/>
  <c r="N31" i="1"/>
  <c r="N30" i="1"/>
  <c r="AL30" i="1" s="1"/>
  <c r="W40" i="1"/>
  <c r="W35" i="1"/>
  <c r="W36" i="1"/>
  <c r="W30" i="1"/>
  <c r="W31" i="1"/>
  <c r="W29" i="1"/>
  <c r="T40" i="1"/>
  <c r="T35" i="1"/>
  <c r="T36" i="1"/>
  <c r="T31" i="1"/>
  <c r="T30" i="1"/>
  <c r="T29" i="1"/>
  <c r="S39" i="1"/>
  <c r="Y39" i="1" s="1"/>
  <c r="S40" i="1"/>
  <c r="Y40" i="1" s="1"/>
  <c r="S35" i="1"/>
  <c r="Y35" i="1" s="1"/>
  <c r="S36" i="1"/>
  <c r="Y36" i="1" s="1"/>
  <c r="S30" i="1"/>
  <c r="Y30" i="1" s="1"/>
  <c r="AB30" i="1" s="1"/>
  <c r="AE30" i="1" s="1"/>
  <c r="AO30" i="1" s="1"/>
  <c r="S31" i="1"/>
  <c r="Y31" i="1" s="1"/>
  <c r="N32" i="1"/>
  <c r="AL32" i="1" s="1"/>
  <c r="N38" i="1"/>
  <c r="AL38" i="1" s="1"/>
  <c r="S27" i="1"/>
  <c r="Y27" i="1" s="1"/>
  <c r="T34" i="1"/>
  <c r="T28" i="1"/>
  <c r="T26" i="1"/>
  <c r="T25" i="1"/>
  <c r="T32" i="1"/>
  <c r="S26" i="1"/>
  <c r="Y26" i="1" s="1"/>
  <c r="S25" i="1"/>
  <c r="Y25" i="1" s="1"/>
  <c r="S28" i="1"/>
  <c r="Y28" i="1" s="1"/>
  <c r="AB28" i="1" s="1"/>
  <c r="AE28" i="1" s="1"/>
  <c r="S29" i="1"/>
  <c r="Y29" i="1" s="1"/>
  <c r="S32" i="1"/>
  <c r="Y32" i="1" s="1"/>
  <c r="S33" i="1"/>
  <c r="Y33" i="1" s="1"/>
  <c r="S34" i="1"/>
  <c r="Y34" i="1" s="1"/>
  <c r="S37" i="1"/>
  <c r="Y37" i="1" s="1"/>
  <c r="S38" i="1"/>
  <c r="Y38" i="1" s="1"/>
  <c r="W25" i="1"/>
  <c r="W27" i="1"/>
  <c r="W28" i="1"/>
  <c r="W32" i="1"/>
  <c r="W33" i="1"/>
  <c r="W34" i="1"/>
  <c r="W37" i="1"/>
  <c r="W38" i="1"/>
  <c r="W39" i="1"/>
  <c r="W24" i="1"/>
  <c r="AB24" i="1" s="1"/>
  <c r="AE24" i="1" s="1"/>
  <c r="AH24" i="1" s="1"/>
  <c r="T33" i="1"/>
  <c r="T37" i="1"/>
  <c r="T38" i="1"/>
  <c r="T39" i="1"/>
  <c r="N26" i="1"/>
  <c r="AL26" i="1" s="1"/>
  <c r="N27" i="1"/>
  <c r="N28" i="1"/>
  <c r="AL28" i="1" s="1"/>
  <c r="N29" i="1"/>
  <c r="AL29" i="1" s="1"/>
  <c r="N33" i="1"/>
  <c r="AL33" i="1" s="1"/>
  <c r="N34" i="1"/>
  <c r="AL34" i="1" s="1"/>
  <c r="N37" i="1"/>
  <c r="AL37" i="1" s="1"/>
  <c r="N39" i="1"/>
  <c r="AL39" i="1" s="1"/>
  <c r="N25" i="1"/>
  <c r="AL25" i="1" s="1"/>
  <c r="I24" i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AB36" i="1" l="1"/>
  <c r="AE36" i="1" s="1"/>
  <c r="AO36" i="1" s="1"/>
  <c r="AB39" i="1"/>
  <c r="AE39" i="1" s="1"/>
  <c r="AO39" i="1" s="1"/>
  <c r="AB26" i="1"/>
  <c r="AE26" i="1" s="1"/>
  <c r="AO26" i="1" s="1"/>
  <c r="AB25" i="1"/>
  <c r="AE25" i="1" s="1"/>
  <c r="AO25" i="1" s="1"/>
  <c r="O25" i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AB31" i="1"/>
  <c r="AE31" i="1" s="1"/>
  <c r="AO31" i="1" s="1"/>
  <c r="AL27" i="1"/>
  <c r="AB27" i="1"/>
  <c r="AE27" i="1" s="1"/>
  <c r="AO27" i="1" s="1"/>
  <c r="AB34" i="1"/>
  <c r="AE34" i="1" s="1"/>
  <c r="AO34" i="1" s="1"/>
  <c r="AB40" i="1"/>
  <c r="AE40" i="1" s="1"/>
  <c r="AO40" i="1" s="1"/>
  <c r="AB35" i="1"/>
  <c r="AE35" i="1" s="1"/>
  <c r="AO35" i="1" s="1"/>
  <c r="AH40" i="1"/>
  <c r="AH36" i="1"/>
  <c r="AH31" i="1"/>
  <c r="AH30" i="1"/>
  <c r="AB29" i="1"/>
  <c r="AE29" i="1" s="1"/>
  <c r="AO29" i="1" s="1"/>
  <c r="AO28" i="1"/>
  <c r="AH28" i="1"/>
  <c r="AH39" i="1"/>
  <c r="AB32" i="1"/>
  <c r="AE32" i="1" s="1"/>
  <c r="AO32" i="1" s="1"/>
  <c r="AB38" i="1"/>
  <c r="AE38" i="1" s="1"/>
  <c r="AB37" i="1"/>
  <c r="AE37" i="1" s="1"/>
  <c r="AO37" i="1" s="1"/>
  <c r="AB33" i="1"/>
  <c r="AE33" i="1" s="1"/>
  <c r="AO33" i="1" s="1"/>
  <c r="C8" i="1"/>
  <c r="AH25" i="1" l="1"/>
  <c r="BE34" i="1"/>
  <c r="BE26" i="1"/>
  <c r="BE30" i="1"/>
  <c r="BE36" i="1"/>
  <c r="BE27" i="1"/>
  <c r="BE33" i="1"/>
  <c r="BE35" i="1"/>
  <c r="BE31" i="1"/>
  <c r="BE39" i="1"/>
  <c r="BE32" i="1"/>
  <c r="BE37" i="1"/>
  <c r="BE29" i="1"/>
  <c r="BE38" i="1"/>
  <c r="BE40" i="1"/>
  <c r="BE25" i="1"/>
  <c r="BE28" i="1"/>
  <c r="AH26" i="1"/>
  <c r="AH27" i="1"/>
  <c r="AH38" i="1"/>
  <c r="AO38" i="1"/>
  <c r="AH34" i="1"/>
  <c r="AH32" i="1"/>
  <c r="AH35" i="1"/>
  <c r="AH29" i="1"/>
  <c r="D32" i="1"/>
  <c r="D31" i="1"/>
  <c r="AH37" i="1"/>
  <c r="AH33" i="1"/>
</calcChain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Sheet1!$O$2:$P$14" type="102" refreshedVersion="6" minRefreshableVersion="5">
    <extLst>
      <ext xmlns:x15="http://schemas.microsoft.com/office/spreadsheetml/2010/11/main" uri="{DE250136-89BD-433C-8126-D09CA5730AF9}">
        <x15:connection id="Range">
          <x15:rangePr sourceName="_xlcn.WorksheetConnection_Sheet1O2P141"/>
        </x15:connection>
      </ext>
    </extLst>
  </connection>
</connections>
</file>

<file path=xl/sharedStrings.xml><?xml version="1.0" encoding="utf-8"?>
<sst xmlns="http://schemas.openxmlformats.org/spreadsheetml/2006/main" count="117" uniqueCount="103">
  <si>
    <t>JOYNER 800i SPECIFICATIONS</t>
  </si>
  <si>
    <t>Power (bhp):</t>
  </si>
  <si>
    <t xml:space="preserve">Power (Kw): </t>
  </si>
  <si>
    <t>at 6000 rpm</t>
  </si>
  <si>
    <t>Torque (N.m):</t>
  </si>
  <si>
    <t>3500-4000 rpm</t>
  </si>
  <si>
    <t>Max Speed (mph):</t>
  </si>
  <si>
    <t>Max Speed (m/s):</t>
  </si>
  <si>
    <t>ENGINE &amp; TRANSMISSION:</t>
  </si>
  <si>
    <t xml:space="preserve">Fuel:                </t>
  </si>
  <si>
    <t>Petrol</t>
  </si>
  <si>
    <t>Engine Type:</t>
  </si>
  <si>
    <t>Standard 4 Stroke</t>
  </si>
  <si>
    <t>Tank Capacity (L):</t>
  </si>
  <si>
    <t xml:space="preserve">Engine:      </t>
  </si>
  <si>
    <t xml:space="preserve">3-Cylinder 812 CC </t>
  </si>
  <si>
    <t>Transmission:</t>
  </si>
  <si>
    <t>Gear Ratio:</t>
  </si>
  <si>
    <t>Close ratio for Fast Shifting</t>
  </si>
  <si>
    <t>GENERAL SPECIFICATIONS:</t>
  </si>
  <si>
    <t>Ground Clearance:</t>
  </si>
  <si>
    <t xml:space="preserve">Weight (Kg):     </t>
  </si>
  <si>
    <t xml:space="preserve">Length (mm):     </t>
  </si>
  <si>
    <t xml:space="preserve">Width (mm):      </t>
  </si>
  <si>
    <t xml:space="preserve">Height (mm):      </t>
  </si>
  <si>
    <t xml:space="preserve">Wheelbase (mm): </t>
  </si>
  <si>
    <t>4 Speed Manual + Reverse</t>
  </si>
  <si>
    <t>Distance</t>
  </si>
  <si>
    <t>Elevation</t>
  </si>
  <si>
    <t>Total Distance:</t>
  </si>
  <si>
    <t>Total Climb:</t>
  </si>
  <si>
    <t>Total Drop:</t>
  </si>
  <si>
    <r>
      <rPr>
        <b/>
        <sz val="14"/>
        <color theme="1"/>
        <rFont val="Calibri"/>
        <family val="2"/>
        <scheme val="minor"/>
      </rPr>
      <t xml:space="preserve">TRACK INFORMATION     </t>
    </r>
    <r>
      <rPr>
        <b/>
        <sz val="12"/>
        <color theme="1"/>
        <rFont val="Calibri"/>
        <family val="2"/>
        <scheme val="minor"/>
      </rPr>
      <t xml:space="preserve">  </t>
    </r>
  </si>
  <si>
    <t>Aerodynamic Drag (cd):</t>
  </si>
  <si>
    <t>Grass:</t>
  </si>
  <si>
    <t xml:space="preserve">Gravel: </t>
  </si>
  <si>
    <t>Mud:</t>
  </si>
  <si>
    <t>Rolling Resistance Coefficient</t>
  </si>
  <si>
    <t>Buggy Weight + Driver (kg):</t>
  </si>
  <si>
    <t>Section : A</t>
  </si>
  <si>
    <t xml:space="preserve">Section : B </t>
  </si>
  <si>
    <t>Section : C</t>
  </si>
  <si>
    <t>Section : D</t>
  </si>
  <si>
    <t>Section : E</t>
  </si>
  <si>
    <t>Section : F</t>
  </si>
  <si>
    <t>Section : G</t>
  </si>
  <si>
    <t>Section : H</t>
  </si>
  <si>
    <t xml:space="preserve">Section : K  </t>
  </si>
  <si>
    <t xml:space="preserve">Section : J  </t>
  </si>
  <si>
    <t xml:space="preserve">Section : I  </t>
  </si>
  <si>
    <t>Gravel</t>
  </si>
  <si>
    <t>Mud</t>
  </si>
  <si>
    <t>Grass</t>
  </si>
  <si>
    <t xml:space="preserve">START        </t>
  </si>
  <si>
    <t xml:space="preserve">Gravity </t>
  </si>
  <si>
    <t xml:space="preserve">Air Density </t>
  </si>
  <si>
    <t>23 Meter</t>
  </si>
  <si>
    <t>703 Meter</t>
  </si>
  <si>
    <t>Avg Power Required (w):</t>
  </si>
  <si>
    <t>Total Power Used (w):</t>
  </si>
  <si>
    <t>Section : E1</t>
  </si>
  <si>
    <t>Section : E2</t>
  </si>
  <si>
    <t>Section : H1</t>
  </si>
  <si>
    <t>Section : H2</t>
  </si>
  <si>
    <t>Section : K1</t>
  </si>
  <si>
    <r>
      <t xml:space="preserve">Velocity </t>
    </r>
    <r>
      <rPr>
        <b/>
        <sz val="10"/>
        <color theme="1"/>
        <rFont val="Calibri"/>
        <family val="2"/>
        <scheme val="minor"/>
      </rPr>
      <t>(m/s)</t>
    </r>
  </si>
  <si>
    <r>
      <t xml:space="preserve">Gradient </t>
    </r>
    <r>
      <rPr>
        <b/>
        <sz val="10"/>
        <color theme="1"/>
        <rFont val="Calibri"/>
        <family val="2"/>
        <scheme val="minor"/>
      </rPr>
      <t>(deg)</t>
    </r>
  </si>
  <si>
    <r>
      <t xml:space="preserve">Rolling Resistance </t>
    </r>
    <r>
      <rPr>
        <b/>
        <sz val="10"/>
        <color theme="1"/>
        <rFont val="Calibri"/>
        <family val="2"/>
        <scheme val="minor"/>
      </rPr>
      <t>(n)</t>
    </r>
  </si>
  <si>
    <r>
      <t xml:space="preserve">Aero Drag </t>
    </r>
    <r>
      <rPr>
        <b/>
        <sz val="10"/>
        <color theme="1"/>
        <rFont val="Calibri"/>
        <family val="2"/>
        <scheme val="minor"/>
      </rPr>
      <t>(n)</t>
    </r>
  </si>
  <si>
    <r>
      <t xml:space="preserve">Gradient Resistance </t>
    </r>
    <r>
      <rPr>
        <b/>
        <sz val="10"/>
        <color theme="1"/>
        <rFont val="Calibri"/>
        <family val="2"/>
        <scheme val="minor"/>
      </rPr>
      <t>(n)</t>
    </r>
  </si>
  <si>
    <r>
      <t xml:space="preserve">Total Tractive Force </t>
    </r>
    <r>
      <rPr>
        <b/>
        <sz val="10"/>
        <rFont val="Calibri"/>
        <family val="2"/>
        <scheme val="minor"/>
      </rPr>
      <t>(n)</t>
    </r>
  </si>
  <si>
    <r>
      <t xml:space="preserve">Available Power Left (Unused) </t>
    </r>
    <r>
      <rPr>
        <b/>
        <sz val="10"/>
        <color theme="1"/>
        <rFont val="Calibri"/>
        <family val="2"/>
        <scheme val="minor"/>
      </rPr>
      <t>W</t>
    </r>
  </si>
  <si>
    <r>
      <t xml:space="preserve">Acceleration </t>
    </r>
    <r>
      <rPr>
        <b/>
        <sz val="10"/>
        <color theme="1"/>
        <rFont val="Calibri"/>
        <family val="2"/>
        <scheme val="minor"/>
      </rPr>
      <t>(m/s^2)</t>
    </r>
  </si>
  <si>
    <r>
      <t xml:space="preserve">Avg Power Per Sec Per Section </t>
    </r>
    <r>
      <rPr>
        <b/>
        <sz val="10"/>
        <color theme="1"/>
        <rFont val="Calibri"/>
        <family val="2"/>
        <scheme val="minor"/>
      </rPr>
      <t>(W)</t>
    </r>
  </si>
  <si>
    <r>
      <t xml:space="preserve">Max Power </t>
    </r>
    <r>
      <rPr>
        <b/>
        <sz val="10"/>
        <color theme="1"/>
        <rFont val="Calibri"/>
        <family val="2"/>
        <scheme val="minor"/>
      </rPr>
      <t>(W)</t>
    </r>
  </si>
  <si>
    <r>
      <t xml:space="preserve">Max Speed </t>
    </r>
    <r>
      <rPr>
        <b/>
        <sz val="10"/>
        <color theme="1"/>
        <rFont val="Calibri"/>
        <family val="2"/>
        <scheme val="minor"/>
      </rPr>
      <t>(m/s)</t>
    </r>
  </si>
  <si>
    <r>
      <t xml:space="preserve">Elevation </t>
    </r>
    <r>
      <rPr>
        <b/>
        <sz val="10"/>
        <color theme="1"/>
        <rFont val="Calibri"/>
        <family val="2"/>
        <scheme val="minor"/>
      </rPr>
      <t>(m)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</si>
  <si>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Accumulative Time </t>
    </r>
    <r>
      <rPr>
        <b/>
        <sz val="10"/>
        <color theme="1"/>
        <rFont val="Calibri"/>
        <family val="2"/>
        <scheme val="minor"/>
      </rPr>
      <t>(Sec)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</si>
  <si>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Time </t>
    </r>
    <r>
      <rPr>
        <b/>
        <sz val="10"/>
        <color theme="1"/>
        <rFont val="Calibri"/>
        <family val="2"/>
        <scheme val="minor"/>
      </rPr>
      <t>(Sec)</t>
    </r>
  </si>
  <si>
    <t>Roll Resis Coeff</t>
  </si>
  <si>
    <t xml:space="preserve">Track Surface   </t>
  </si>
  <si>
    <r>
      <t xml:space="preserve">Distance </t>
    </r>
    <r>
      <rPr>
        <b/>
        <sz val="10"/>
        <rFont val="Calibri"/>
        <family val="2"/>
        <scheme val="minor"/>
      </rPr>
      <t>(m)</t>
    </r>
    <r>
      <rPr>
        <b/>
        <sz val="12"/>
        <rFont val="Calibri"/>
        <family val="2"/>
        <scheme val="minor"/>
      </rPr>
      <t xml:space="preserve">  </t>
    </r>
  </si>
  <si>
    <t>Track Section</t>
  </si>
  <si>
    <r>
      <t xml:space="preserve">Power Required </t>
    </r>
    <r>
      <rPr>
        <b/>
        <sz val="10"/>
        <color theme="1"/>
        <rFont val="Calibri"/>
        <family val="2"/>
        <scheme val="minor"/>
      </rPr>
      <t>(W)</t>
    </r>
  </si>
  <si>
    <t>20 Meter</t>
  </si>
  <si>
    <t>Frontal Area (m^2):</t>
  </si>
  <si>
    <t>MAX Power / AFR</t>
  </si>
  <si>
    <t>Max RPM per Section</t>
  </si>
  <si>
    <t xml:space="preserve">Intake Event </t>
  </si>
  <si>
    <r>
      <t>Air Volume Rate</t>
    </r>
    <r>
      <rPr>
        <b/>
        <sz val="10"/>
        <color theme="1"/>
        <rFont val="Calibri"/>
        <family val="2"/>
        <scheme val="minor"/>
      </rPr>
      <t xml:space="preserve"> (m^3/min)</t>
    </r>
  </si>
  <si>
    <t>Cylinder Volume (m^3)</t>
  </si>
  <si>
    <t>Cylinder Volume (cc)</t>
  </si>
  <si>
    <t>Air Density (kg/m^3):</t>
  </si>
  <si>
    <r>
      <t xml:space="preserve">Air Mass Flow Rate </t>
    </r>
    <r>
      <rPr>
        <b/>
        <sz val="10"/>
        <color theme="1"/>
        <rFont val="Calibri"/>
        <family val="2"/>
        <scheme val="minor"/>
      </rPr>
      <t>(kg/min)</t>
    </r>
  </si>
  <si>
    <r>
      <t xml:space="preserve">Fuel Mass Flow Rate </t>
    </r>
    <r>
      <rPr>
        <b/>
        <sz val="10"/>
        <color theme="1"/>
        <rFont val="Calibri"/>
        <family val="2"/>
        <scheme val="minor"/>
      </rPr>
      <t>(kg/min)</t>
    </r>
  </si>
  <si>
    <r>
      <t xml:space="preserve">BSFC </t>
    </r>
    <r>
      <rPr>
        <b/>
        <sz val="10"/>
        <color theme="1"/>
        <rFont val="Calibri"/>
        <family val="2"/>
        <scheme val="minor"/>
      </rPr>
      <t>(g/Kw.h)</t>
    </r>
  </si>
  <si>
    <r>
      <t xml:space="preserve">Fuel Mass Flow Rate </t>
    </r>
    <r>
      <rPr>
        <b/>
        <sz val="10"/>
        <color theme="1"/>
        <rFont val="Calibri"/>
        <family val="2"/>
        <scheme val="minor"/>
      </rPr>
      <t>(kg/s)</t>
    </r>
  </si>
  <si>
    <r>
      <t xml:space="preserve">Fuel Mass Flow Rate </t>
    </r>
    <r>
      <rPr>
        <b/>
        <sz val="10"/>
        <color theme="1"/>
        <rFont val="Calibri"/>
        <family val="2"/>
        <scheme val="minor"/>
      </rPr>
      <t>(g/s)</t>
    </r>
  </si>
  <si>
    <r>
      <t xml:space="preserve">Fuel Mass Flow Rate </t>
    </r>
    <r>
      <rPr>
        <b/>
        <sz val="10"/>
        <color theme="1"/>
        <rFont val="Calibri"/>
        <family val="2"/>
        <scheme val="minor"/>
      </rPr>
      <t>(g/h)</t>
    </r>
  </si>
  <si>
    <r>
      <t xml:space="preserve">Buggies BuiltforFun (2011) </t>
    </r>
    <r>
      <rPr>
        <i/>
        <sz val="11"/>
        <color theme="1"/>
        <rFont val="Arial"/>
        <family val="2"/>
      </rPr>
      <t>Rolling Resistance &amp; Drag Coefficients</t>
    </r>
    <r>
      <rPr>
        <sz val="11"/>
        <color theme="1"/>
        <rFont val="Arial"/>
        <family val="2"/>
      </rPr>
      <t>. Available at: http://buggies.builtforfun.co.uk/Calculator/calculator-data.html/ (Accessed: 26</t>
    </r>
    <r>
      <rPr>
        <vertAlign val="superscript"/>
        <sz val="11"/>
        <color theme="1"/>
        <rFont val="Arial"/>
        <family val="2"/>
      </rPr>
      <t>th</t>
    </r>
    <r>
      <rPr>
        <sz val="11"/>
        <color theme="1"/>
        <rFont val="Arial"/>
        <family val="2"/>
      </rPr>
      <t xml:space="preserve"> November 2019).</t>
    </r>
  </si>
  <si>
    <r>
      <t xml:space="preserve">Engineering ToolBox (2001) </t>
    </r>
    <r>
      <rPr>
        <i/>
        <sz val="11"/>
        <color theme="1"/>
        <rFont val="Arial"/>
        <family val="2"/>
      </rPr>
      <t>Drag Coefficients</t>
    </r>
    <r>
      <rPr>
        <sz val="11"/>
        <color theme="1"/>
        <rFont val="Arial"/>
        <family val="2"/>
      </rPr>
      <t>. Available at: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https://www.engineeringtoolbox.com/drag-coefficient-d_627.html/ (Accessed: 26</t>
    </r>
    <r>
      <rPr>
        <vertAlign val="superscript"/>
        <sz val="11"/>
        <color theme="1"/>
        <rFont val="Arial"/>
        <family val="2"/>
      </rPr>
      <t>th</t>
    </r>
    <r>
      <rPr>
        <sz val="11"/>
        <color theme="1"/>
        <rFont val="Arial"/>
        <family val="2"/>
      </rPr>
      <t xml:space="preserve"> November 2019).</t>
    </r>
  </si>
  <si>
    <t>StormBuggies (2016) NEW 2016 JOYNER 800i SPORTS ROAD LEGAL BUGGY . Available at: https://www.stormbuggies.com/products/new-2016-joyner-800i-sports-road-legal-buggy/ (Accessed: 28th November 2019).</t>
  </si>
  <si>
    <t xml:space="preserve">References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</si>
</sst>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b/>
      <sz val="11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5613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2" fontId="2" fillId="2" borderId="0" xfId="0" applyNumberFormat="1" applyFont="1" applyFill="1" applyProtection="1"/>
    <xf numFmtId="2" fontId="0" fillId="2" borderId="0" xfId="0" applyNumberFormat="1" applyFill="1" applyProtection="1"/>
    <xf numFmtId="2" fontId="3" fillId="2" borderId="0" xfId="0" applyNumberFormat="1" applyFont="1" applyFill="1"/>
    <xf numFmtId="2" fontId="0" fillId="2" borderId="0" xfId="0" applyNumberFormat="1" applyFill="1"/>
    <xf numFmtId="2" fontId="0" fillId="0" borderId="0" xfId="0" applyNumberFormat="1"/>
    <xf numFmtId="2" fontId="0" fillId="3" borderId="0" xfId="0" applyNumberFormat="1" applyFill="1"/>
    <xf numFmtId="2" fontId="3" fillId="3" borderId="0" xfId="0" applyNumberFormat="1" applyFont="1" applyFill="1"/>
    <xf numFmtId="2" fontId="3" fillId="3" borderId="0" xfId="0" applyNumberFormat="1" applyFont="1" applyFill="1" applyAlignment="1">
      <alignment horizontal="left"/>
    </xf>
    <xf numFmtId="2" fontId="1" fillId="3" borderId="0" xfId="0" applyNumberFormat="1" applyFont="1" applyFill="1"/>
    <xf numFmtId="2" fontId="0" fillId="3" borderId="0" xfId="0" applyNumberFormat="1" applyFill="1" applyAlignment="1">
      <alignment horizontal="left"/>
    </xf>
    <xf numFmtId="2" fontId="1" fillId="3" borderId="0" xfId="0" applyNumberFormat="1" applyFont="1" applyFill="1" applyAlignment="1">
      <alignment horizontal="left"/>
    </xf>
    <xf numFmtId="2" fontId="2" fillId="3" borderId="0" xfId="0" applyNumberFormat="1" applyFont="1" applyFill="1"/>
    <xf numFmtId="2" fontId="0" fillId="3" borderId="0" xfId="0" applyNumberFormat="1" applyFill="1" applyAlignment="1">
      <alignment horizontal="right"/>
    </xf>
    <xf numFmtId="2" fontId="5" fillId="3" borderId="0" xfId="0" applyNumberFormat="1" applyFont="1" applyFill="1"/>
    <xf numFmtId="2" fontId="5" fillId="2" borderId="0" xfId="0" applyNumberFormat="1" applyFont="1" applyFill="1"/>
    <xf numFmtId="2" fontId="3" fillId="2" borderId="0" xfId="0" applyNumberFormat="1" applyFont="1" applyFill="1" applyAlignment="1">
      <alignment horizontal="left"/>
    </xf>
    <xf numFmtId="2" fontId="6" fillId="2" borderId="0" xfId="0" applyNumberFormat="1" applyFont="1" applyFill="1" applyAlignment="1">
      <alignment horizontal="left"/>
    </xf>
    <xf numFmtId="2" fontId="6" fillId="3" borderId="0" xfId="0" applyNumberFormat="1" applyFont="1" applyFill="1" applyAlignment="1">
      <alignment horizontal="left"/>
    </xf>
    <xf numFmtId="2" fontId="0" fillId="2" borderId="0" xfId="0" applyNumberFormat="1" applyFill="1" applyAlignment="1">
      <alignment horizontal="left"/>
    </xf>
    <xf numFmtId="2" fontId="10" fillId="2" borderId="0" xfId="0" applyNumberFormat="1" applyFont="1" applyFill="1" applyAlignment="1">
      <alignment horizontal="left"/>
    </xf>
    <xf numFmtId="2" fontId="10" fillId="3" borderId="0" xfId="0" applyNumberFormat="1" applyFont="1" applyFill="1" applyAlignment="1">
      <alignment horizontal="left"/>
    </xf>
    <xf numFmtId="2" fontId="4" fillId="3" borderId="0" xfId="0" applyNumberFormat="1" applyFont="1" applyFill="1" applyAlignment="1">
      <alignment horizontal="left"/>
    </xf>
    <xf numFmtId="2" fontId="1" fillId="2" borderId="0" xfId="0" applyNumberFormat="1" applyFont="1" applyFill="1"/>
    <xf numFmtId="2" fontId="11" fillId="2" borderId="0" xfId="0" applyNumberFormat="1" applyFont="1" applyFill="1"/>
    <xf numFmtId="2" fontId="9" fillId="2" borderId="0" xfId="0" applyNumberFormat="1" applyFont="1" applyFill="1"/>
    <xf numFmtId="2" fontId="6" fillId="0" borderId="0" xfId="0" applyNumberFormat="1" applyFont="1" applyFill="1" applyAlignment="1">
      <alignment horizontal="left"/>
    </xf>
    <xf numFmtId="2" fontId="0" fillId="4" borderId="0" xfId="0" applyNumberFormat="1" applyFill="1"/>
    <xf numFmtId="1" fontId="3" fillId="2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1" fontId="3" fillId="3" borderId="0" xfId="0" applyNumberFormat="1" applyFont="1" applyFill="1" applyAlignment="1">
      <alignment horizontal="left"/>
    </xf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0" fontId="0" fillId="3" borderId="0" xfId="0" applyNumberFormat="1" applyFill="1"/>
    <xf numFmtId="2" fontId="0" fillId="0" borderId="0" xfId="0" applyNumberFormat="1" applyFill="1"/>
    <xf numFmtId="0" fontId="0" fillId="3" borderId="0" xfId="0" applyNumberFormat="1" applyFill="1" applyAlignment="1">
      <alignment horizontal="left"/>
    </xf>
    <xf numFmtId="0" fontId="0" fillId="2" borderId="0" xfId="0" applyNumberFormat="1" applyFill="1"/>
    <xf numFmtId="164" fontId="0" fillId="3" borderId="0" xfId="0" applyNumberFormat="1" applyFill="1" applyAlignment="1">
      <alignment horizontal="left"/>
    </xf>
    <xf numFmtId="0" fontId="12" fillId="0" borderId="0" xfId="0" applyFont="1" applyAlignment="1">
      <alignment horizontal="justify" vertical="center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  <color rgb="FFF56139"/>
      <color rgb="FFF737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7027526731572344E-2"/>
          <c:y val="4.1012063791236272E-2"/>
          <c:w val="0.93667545867111424"/>
          <c:h val="0.87729673455622514"/>
        </c:manualLayout>
      </c:layout>
      <c:line3DChart>
        <c:grouping val="standard"/>
        <c:varyColors val="0"/>
        <c:ser>
          <c:idx val="1"/>
          <c:order val="1"/>
          <c:tx>
            <c:strRef>
              <c:f>Sheet1!$P$2</c:f>
              <c:strCache>
                <c:ptCount val="1"/>
                <c:pt idx="0">
                  <c:v>Elevation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solidFill>
                <a:schemeClr val="accent2">
                  <a:lumMod val="50000"/>
                </a:schemeClr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 contourW="25400">
              <a:contourClr>
                <a:schemeClr val="accent2">
                  <a:lumMod val="50000"/>
                </a:schemeClr>
              </a:contourClr>
            </a:sp3d>
          </c:spPr>
          <c:dPt>
            <c:idx val="1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bg1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bg1">
                    <a:lumMod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E-02AE-4AC5-85D9-74BCCBCD07C9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bg1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bg1">
                    <a:lumMod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02AE-4AC5-85D9-74BCCBCD07C9}"/>
              </c:ext>
            </c:extLst>
          </c:dPt>
          <c:dPt>
            <c:idx val="4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02AE-4AC5-85D9-74BCCBCD07C9}"/>
              </c:ext>
            </c:extLst>
          </c:dPt>
          <c:dPt>
            <c:idx val="8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02AE-4AC5-85D9-74BCCBCD07C9}"/>
              </c:ext>
            </c:extLst>
          </c:dPt>
          <c:dPt>
            <c:idx val="9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accent6">
                    <a:lumMod val="75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4-02AE-4AC5-85D9-74BCCBCD07C9}"/>
              </c:ext>
            </c:extLst>
          </c:dPt>
          <c:dPt>
            <c:idx val="10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bg1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bg1">
                    <a:lumMod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02AE-4AC5-85D9-74BCCBCD07C9}"/>
              </c:ext>
            </c:extLst>
          </c:dPt>
          <c:dPt>
            <c:idx val="11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bg1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 contourW="25400">
                <a:contourClr>
                  <a:schemeClr val="bg1">
                    <a:lumMod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280D-470F-914F-3AD12CA0E5CB}"/>
              </c:ext>
            </c:extLst>
          </c:dPt>
          <c:cat>
            <c:numRef>
              <c:f>Sheet1!$O$3:$O$14</c:f>
              <c:numCache>
                <c:formatCode>0</c:formatCode>
                <c:ptCount val="12"/>
                <c:pt idx="0">
                  <c:v>0</c:v>
                </c:pt>
                <c:pt idx="1">
                  <c:v>150</c:v>
                </c:pt>
                <c:pt idx="2">
                  <c:v>165</c:v>
                </c:pt>
                <c:pt idx="3">
                  <c:v>190</c:v>
                </c:pt>
                <c:pt idx="4">
                  <c:v>195</c:v>
                </c:pt>
                <c:pt idx="5">
                  <c:v>370</c:v>
                </c:pt>
                <c:pt idx="6">
                  <c:v>376</c:v>
                </c:pt>
                <c:pt idx="7">
                  <c:v>386</c:v>
                </c:pt>
                <c:pt idx="8">
                  <c:v>566</c:v>
                </c:pt>
                <c:pt idx="9">
                  <c:v>572</c:v>
                </c:pt>
                <c:pt idx="10">
                  <c:v>578</c:v>
                </c:pt>
                <c:pt idx="11">
                  <c:v>703</c:v>
                </c:pt>
              </c:numCache>
            </c:numRef>
          </c:cat>
          <c:val>
            <c:numRef>
              <c:f>Sheet1!$P$3:$P$14</c:f>
              <c:numCache>
                <c:formatCode>0</c:formatCode>
                <c:ptCount val="12"/>
                <c:pt idx="0">
                  <c:v>42</c:v>
                </c:pt>
                <c:pt idx="1">
                  <c:v>42</c:v>
                </c:pt>
                <c:pt idx="2">
                  <c:v>52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50</c:v>
                </c:pt>
                <c:pt idx="7">
                  <c:v>42</c:v>
                </c:pt>
                <c:pt idx="8">
                  <c:v>42</c:v>
                </c:pt>
                <c:pt idx="9">
                  <c:v>47</c:v>
                </c:pt>
                <c:pt idx="10">
                  <c:v>47</c:v>
                </c:pt>
                <c:pt idx="11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2AE-4AC5-85D9-74BCCBCD07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762992"/>
        <c:axId val="599757744"/>
        <c:axId val="3466739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Sheet1!$O$2</c15:sqref>
                        </c15:formulaRef>
                      </c:ext>
                    </c:extLst>
                    <c:strCache>
                      <c:ptCount val="1"/>
                      <c:pt idx="0">
                        <c:v>Distance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  <a:sp3d/>
                </c:spPr>
                <c:cat>
                  <c:numRef>
                    <c:extLst>
                      <c:ext uri="{02D57815-91ED-43cb-92C2-25804820EDAC}">
                        <c15:formulaRef>
                          <c15:sqref>Sheet1!$O$3:$O$14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0</c:v>
                      </c:pt>
                      <c:pt idx="1">
                        <c:v>150</c:v>
                      </c:pt>
                      <c:pt idx="2">
                        <c:v>165</c:v>
                      </c:pt>
                      <c:pt idx="3">
                        <c:v>190</c:v>
                      </c:pt>
                      <c:pt idx="4">
                        <c:v>195</c:v>
                      </c:pt>
                      <c:pt idx="5">
                        <c:v>370</c:v>
                      </c:pt>
                      <c:pt idx="6">
                        <c:v>376</c:v>
                      </c:pt>
                      <c:pt idx="7">
                        <c:v>386</c:v>
                      </c:pt>
                      <c:pt idx="8">
                        <c:v>566</c:v>
                      </c:pt>
                      <c:pt idx="9">
                        <c:v>572</c:v>
                      </c:pt>
                      <c:pt idx="10">
                        <c:v>578</c:v>
                      </c:pt>
                      <c:pt idx="11">
                        <c:v>703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Sheet1!$O$3:$O$14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0</c:v>
                      </c:pt>
                      <c:pt idx="1">
                        <c:v>150</c:v>
                      </c:pt>
                      <c:pt idx="2">
                        <c:v>165</c:v>
                      </c:pt>
                      <c:pt idx="3">
                        <c:v>190</c:v>
                      </c:pt>
                      <c:pt idx="4">
                        <c:v>195</c:v>
                      </c:pt>
                      <c:pt idx="5">
                        <c:v>370</c:v>
                      </c:pt>
                      <c:pt idx="6">
                        <c:v>376</c:v>
                      </c:pt>
                      <c:pt idx="7">
                        <c:v>386</c:v>
                      </c:pt>
                      <c:pt idx="8">
                        <c:v>566</c:v>
                      </c:pt>
                      <c:pt idx="9">
                        <c:v>572</c:v>
                      </c:pt>
                      <c:pt idx="10">
                        <c:v>578</c:v>
                      </c:pt>
                      <c:pt idx="11">
                        <c:v>703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02AE-4AC5-85D9-74BCCBCD07C9}"/>
                  </c:ext>
                </c:extLst>
              </c15:ser>
            </c15:filteredLineSeries>
          </c:ext>
        </c:extLst>
      </c:line3DChart>
      <c:catAx>
        <c:axId val="599762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i="0">
                    <a:solidFill>
                      <a:schemeClr val="tx1"/>
                    </a:solidFill>
                  </a:rPr>
                  <a:t>DISTANCE (m)</a:t>
                </a:r>
              </a:p>
            </c:rich>
          </c:tx>
          <c:layout>
            <c:manualLayout>
              <c:xMode val="edge"/>
              <c:yMode val="edge"/>
              <c:x val="0.35941879473502542"/>
              <c:y val="0.748597666056564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757744"/>
        <c:crosses val="autoZero"/>
        <c:auto val="1"/>
        <c:lblAlgn val="ctr"/>
        <c:lblOffset val="100"/>
        <c:noMultiLvlLbl val="0"/>
      </c:catAx>
      <c:valAx>
        <c:axId val="599757744"/>
        <c:scaling>
          <c:orientation val="minMax"/>
          <c:max val="60"/>
          <c:min val="2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tx1"/>
                    </a:solidFill>
                  </a:rPr>
                  <a:t>ELEVATION (m)</a:t>
                </a:r>
              </a:p>
            </c:rich>
          </c:tx>
          <c:layout>
            <c:manualLayout>
              <c:xMode val="edge"/>
              <c:yMode val="edge"/>
              <c:x val="1.062137923003428E-2"/>
              <c:y val="0.297594173967690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762992"/>
        <c:crosses val="autoZero"/>
        <c:crossBetween val="between"/>
      </c:valAx>
      <c:serAx>
        <c:axId val="346673944"/>
        <c:scaling>
          <c:orientation val="minMax"/>
        </c:scaling>
        <c:delete val="1"/>
        <c:axPos val="b"/>
        <c:majorTickMark val="out"/>
        <c:minorTickMark val="none"/>
        <c:tickLblPos val="nextTo"/>
        <c:crossAx val="599757744"/>
        <c:crosses val="autoZero"/>
      </c:serAx>
      <c:spPr>
        <a:solidFill>
          <a:schemeClr val="bg2">
            <a:lumMod val="7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rgbClr val="F56139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Vehicle Speed</a:t>
            </a:r>
            <a:r>
              <a:rPr lang="en-GB" baseline="0"/>
              <a:t> Vs Time</a:t>
            </a:r>
            <a:endParaRPr lang="en-GB"/>
          </a:p>
        </c:rich>
      </c:tx>
      <c:layout>
        <c:manualLayout>
          <c:xMode val="edge"/>
          <c:yMode val="edge"/>
          <c:x val="0.43025721784776899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Speed Per Time</c:v>
          </c:tx>
          <c:spPr>
            <a:ln w="38100" cap="rnd">
              <a:solidFill>
                <a:srgbClr val="0070C0"/>
              </a:solidFill>
              <a:round/>
            </a:ln>
            <a:effectLst>
              <a:glow rad="63500">
                <a:srgbClr val="7030A0">
                  <a:alpha val="52000"/>
                </a:srgbClr>
              </a:glow>
            </a:effectLst>
          </c:spPr>
          <c:marker>
            <c:symbol val="circle"/>
            <c:size val="6"/>
            <c:spPr>
              <a:solidFill>
                <a:srgbClr val="7030A0"/>
              </a:solidFill>
              <a:ln w="9525" cap="rnd">
                <a:solidFill>
                  <a:schemeClr val="accent1"/>
                </a:solidFill>
                <a:round/>
              </a:ln>
              <a:effectLst>
                <a:glow rad="63500">
                  <a:srgbClr val="7030A0">
                    <a:alpha val="52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Sheet1!$Q$24:$Q$40</c:f>
              <c:numCache>
                <c:formatCode>0.00</c:formatCode>
                <c:ptCount val="17"/>
                <c:pt idx="0">
                  <c:v>0</c:v>
                </c:pt>
                <c:pt idx="1">
                  <c:v>28</c:v>
                </c:pt>
                <c:pt idx="2">
                  <c:v>4.47</c:v>
                </c:pt>
                <c:pt idx="3">
                  <c:v>16</c:v>
                </c:pt>
                <c:pt idx="4">
                  <c:v>18</c:v>
                </c:pt>
                <c:pt idx="5">
                  <c:v>26</c:v>
                </c:pt>
                <c:pt idx="6">
                  <c:v>5</c:v>
                </c:pt>
                <c:pt idx="7">
                  <c:v>5</c:v>
                </c:pt>
                <c:pt idx="8">
                  <c:v>10</c:v>
                </c:pt>
                <c:pt idx="9">
                  <c:v>13</c:v>
                </c:pt>
                <c:pt idx="10">
                  <c:v>3</c:v>
                </c:pt>
                <c:pt idx="11">
                  <c:v>12</c:v>
                </c:pt>
                <c:pt idx="12">
                  <c:v>9</c:v>
                </c:pt>
                <c:pt idx="13">
                  <c:v>5</c:v>
                </c:pt>
                <c:pt idx="14">
                  <c:v>11</c:v>
                </c:pt>
                <c:pt idx="15">
                  <c:v>15</c:v>
                </c:pt>
                <c:pt idx="16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D3-4D10-BBFC-12222A2E48CD}"/>
            </c:ext>
          </c:extLst>
        </c:ser>
        <c:ser>
          <c:idx val="1"/>
          <c:order val="1"/>
          <c:tx>
            <c:v>Max Speed</c:v>
          </c:tx>
          <c:spPr>
            <a:ln w="38100" cap="rnd" cmpd="sng">
              <a:solidFill>
                <a:srgbClr val="FF0000"/>
              </a:solidFill>
              <a:round/>
            </a:ln>
            <a:effectLst>
              <a:glow>
                <a:srgbClr val="7030A0"/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>
                  <a:srgbClr val="7030A0"/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Sheet1!$AU$24:$AU$40</c:f>
              <c:numCache>
                <c:formatCode>0.00</c:formatCode>
                <c:ptCount val="17"/>
                <c:pt idx="0">
                  <c:v>29.056799999999999</c:v>
                </c:pt>
                <c:pt idx="1">
                  <c:v>29.056799999999999</c:v>
                </c:pt>
                <c:pt idx="2">
                  <c:v>29.056799999999999</c:v>
                </c:pt>
                <c:pt idx="3">
                  <c:v>29.056799999999999</c:v>
                </c:pt>
                <c:pt idx="4">
                  <c:v>29.056799999999999</c:v>
                </c:pt>
                <c:pt idx="5">
                  <c:v>29.056799999999999</c:v>
                </c:pt>
                <c:pt idx="6">
                  <c:v>29.056799999999999</c:v>
                </c:pt>
                <c:pt idx="7">
                  <c:v>29.056799999999999</c:v>
                </c:pt>
                <c:pt idx="8">
                  <c:v>29.056799999999999</c:v>
                </c:pt>
                <c:pt idx="9">
                  <c:v>29.056799999999999</c:v>
                </c:pt>
                <c:pt idx="10">
                  <c:v>29.056799999999999</c:v>
                </c:pt>
                <c:pt idx="11">
                  <c:v>29.056799999999999</c:v>
                </c:pt>
                <c:pt idx="12">
                  <c:v>29.056799999999999</c:v>
                </c:pt>
                <c:pt idx="13">
                  <c:v>29.056799999999999</c:v>
                </c:pt>
                <c:pt idx="14">
                  <c:v>29.056799999999999</c:v>
                </c:pt>
                <c:pt idx="15">
                  <c:v>29.056799999999999</c:v>
                </c:pt>
                <c:pt idx="16">
                  <c:v>29.056799999999999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5D3-4D10-BBFC-12222A2E4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802529692895854"/>
          <c:y val="3.3508344825927301E-2"/>
          <c:w val="0.14135791313881757"/>
          <c:h val="5.369964640228355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Vehicle Acceleration</a:t>
            </a:r>
          </a:p>
        </c:rich>
      </c:tx>
      <c:layout>
        <c:manualLayout>
          <c:xMode val="edge"/>
          <c:yMode val="edge"/>
          <c:x val="0.43430495596065055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59A6-4039-9EBF-872A9AF75B6B}"/>
              </c:ext>
            </c:extLst>
          </c:dPt>
          <c:dPt>
            <c:idx val="5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59A6-4039-9EBF-872A9AF75B6B}"/>
              </c:ext>
            </c:extLst>
          </c:dPt>
          <c:dPt>
            <c:idx val="6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9A6-4039-9EBF-872A9AF75B6B}"/>
              </c:ext>
            </c:extLst>
          </c:dPt>
          <c:dPt>
            <c:idx val="9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9A6-4039-9EBF-872A9AF75B6B}"/>
              </c:ext>
            </c:extLst>
          </c:dPt>
          <c:dPt>
            <c:idx val="10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59A6-4039-9EBF-872A9AF75B6B}"/>
              </c:ext>
            </c:extLst>
          </c:dPt>
          <c:dPt>
            <c:idx val="12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9A6-4039-9EBF-872A9AF75B6B}"/>
              </c:ext>
            </c:extLst>
          </c:dPt>
          <c:dPt>
            <c:idx val="13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59A6-4039-9EBF-872A9AF75B6B}"/>
              </c:ext>
            </c:extLst>
          </c:dPt>
          <c:dPt>
            <c:idx val="15"/>
            <c:marker>
              <c:symbol val="circle"/>
              <c:size val="6"/>
              <c:spPr>
                <a:noFill/>
                <a:ln w="9525" cap="rnd">
                  <a:noFill/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8100" cap="rnd">
                <a:solidFill>
                  <a:srgbClr val="00B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9A6-4039-9EBF-872A9AF75B6B}"/>
              </c:ext>
            </c:extLst>
          </c:dPt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Sheet1!$AL$24:$AL$40</c:f>
              <c:numCache>
                <c:formatCode>0.00</c:formatCode>
                <c:ptCount val="17"/>
                <c:pt idx="0">
                  <c:v>0</c:v>
                </c:pt>
                <c:pt idx="1">
                  <c:v>5.2266666666666675</c:v>
                </c:pt>
                <c:pt idx="2">
                  <c:v>-7.0119400000000001</c:v>
                </c:pt>
                <c:pt idx="3">
                  <c:v>6.1493333333333338</c:v>
                </c:pt>
                <c:pt idx="4">
                  <c:v>7.1999999999999993</c:v>
                </c:pt>
                <c:pt idx="5">
                  <c:v>2.08</c:v>
                </c:pt>
                <c:pt idx="6">
                  <c:v>-3.5</c:v>
                </c:pt>
                <c:pt idx="7">
                  <c:v>0</c:v>
                </c:pt>
                <c:pt idx="8">
                  <c:v>8.3333333333333339</c:v>
                </c:pt>
                <c:pt idx="9">
                  <c:v>3.9</c:v>
                </c:pt>
                <c:pt idx="10">
                  <c:v>-7.5</c:v>
                </c:pt>
                <c:pt idx="11">
                  <c:v>1.2272727272727273</c:v>
                </c:pt>
                <c:pt idx="12">
                  <c:v>-0.30681818181818177</c:v>
                </c:pt>
                <c:pt idx="13">
                  <c:v>-3.3333333333333335</c:v>
                </c:pt>
                <c:pt idx="14">
                  <c:v>11</c:v>
                </c:pt>
                <c:pt idx="15">
                  <c:v>1.2</c:v>
                </c:pt>
                <c:pt idx="16">
                  <c:v>2.2000000000000002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9A6-4039-9EBF-872A9AF75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  <c:max val="12"/>
          <c:min val="-1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Acceleration</a:t>
                </a:r>
                <a:r>
                  <a:rPr lang="en-GB" sz="1200" baseline="0"/>
                  <a:t> (m/s^2)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Gradient 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44401958862610297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chemeClr val="accent4">
                  <a:lumMod val="75000"/>
                </a:schemeClr>
              </a:solidFill>
              <a:round/>
            </a:ln>
            <a:effectLst>
              <a:glow rad="63500">
                <a:srgbClr val="FFFF00">
                  <a:alpha val="14000"/>
                </a:srgbClr>
              </a:glow>
            </a:effectLst>
          </c:spPr>
          <c:marker>
            <c:symbol val="circle"/>
            <c:size val="6"/>
            <c:spPr>
              <a:solidFill>
                <a:schemeClr val="bg1"/>
              </a:solidFill>
              <a:ln w="9525" cap="rnd">
                <a:noFill/>
                <a:round/>
              </a:ln>
              <a:effectLst>
                <a:glow rad="63500">
                  <a:srgbClr val="FFFF00">
                    <a:alpha val="14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Sheet1!$S$24:$S$40</c:f>
              <c:numCache>
                <c:formatCode>0.00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41.810314895778596</c:v>
                </c:pt>
                <c:pt idx="3">
                  <c:v>-13.493398821551692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56.442690238079287</c:v>
                </c:pt>
                <c:pt idx="9">
                  <c:v>-53.130102354155987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56.442690238079287</c:v>
                </c:pt>
                <c:pt idx="14">
                  <c:v>0</c:v>
                </c:pt>
                <c:pt idx="15">
                  <c:v>-2.8659839825988622</c:v>
                </c:pt>
                <c:pt idx="16">
                  <c:v>-2.0467130976725789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083-40DB-B698-5B3D758FE1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  <c:max val="60"/>
          <c:min val="-55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Gradient (deg)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Rolling Resistance 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41568524335186691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chemeClr val="accent2">
                  <a:lumMod val="50000"/>
                </a:schemeClr>
              </a:solidFill>
              <a:round/>
            </a:ln>
            <a:effectLst>
              <a:glow rad="76200">
                <a:schemeClr val="accent2">
                  <a:lumMod val="75000"/>
                  <a:alpha val="31000"/>
                </a:schemeClr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 rad="76200">
                  <a:schemeClr val="accent2">
                    <a:lumMod val="75000"/>
                    <a:alpha val="31000"/>
                  </a:scheme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Sheet1!$T$24:$T$40</c:f>
              <c:numCache>
                <c:formatCode>0.00</c:formatCode>
                <c:ptCount val="17"/>
                <c:pt idx="0">
                  <c:v>112.81500000000001</c:v>
                </c:pt>
                <c:pt idx="1">
                  <c:v>112.81500000000001</c:v>
                </c:pt>
                <c:pt idx="2">
                  <c:v>112.81500000000001</c:v>
                </c:pt>
                <c:pt idx="3">
                  <c:v>1128.1500000000001</c:v>
                </c:pt>
                <c:pt idx="4">
                  <c:v>451.26000000000005</c:v>
                </c:pt>
                <c:pt idx="5">
                  <c:v>1128.1500000000001</c:v>
                </c:pt>
                <c:pt idx="6">
                  <c:v>1128.1500000000001</c:v>
                </c:pt>
                <c:pt idx="7">
                  <c:v>1128.1500000000001</c:v>
                </c:pt>
                <c:pt idx="8">
                  <c:v>1128.1500000000001</c:v>
                </c:pt>
                <c:pt idx="9">
                  <c:v>1128.1500000000001</c:v>
                </c:pt>
                <c:pt idx="10">
                  <c:v>451.26000000000005</c:v>
                </c:pt>
                <c:pt idx="11">
                  <c:v>451.26000000000005</c:v>
                </c:pt>
                <c:pt idx="12">
                  <c:v>451.26000000000005</c:v>
                </c:pt>
                <c:pt idx="13">
                  <c:v>451.26000000000005</c:v>
                </c:pt>
                <c:pt idx="14">
                  <c:v>112.81500000000001</c:v>
                </c:pt>
                <c:pt idx="15">
                  <c:v>112.81500000000001</c:v>
                </c:pt>
                <c:pt idx="16">
                  <c:v>112.81500000000001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519-4654-A693-01AF1729C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Rolling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Aerodunamic Resistance 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38977955624399407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 Resistance</c:v>
          </c:tx>
          <c:spPr>
            <a:ln w="38100" cap="rnd">
              <a:solidFill>
                <a:srgbClr val="00B0F0"/>
              </a:solidFill>
              <a:round/>
            </a:ln>
            <a:effectLst>
              <a:glow rad="76200">
                <a:srgbClr val="00B0F0">
                  <a:alpha val="23000"/>
                </a:srgbClr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 rad="76200">
                  <a:srgbClr val="00B0F0">
                    <a:alpha val="23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Sheet1!$W$24:$W$40</c:f>
              <c:numCache>
                <c:formatCode>0.00</c:formatCode>
                <c:ptCount val="17"/>
                <c:pt idx="0">
                  <c:v>0</c:v>
                </c:pt>
                <c:pt idx="1">
                  <c:v>296.72832</c:v>
                </c:pt>
                <c:pt idx="2">
                  <c:v>7.5623710319999988</c:v>
                </c:pt>
                <c:pt idx="3">
                  <c:v>96.890879999999996</c:v>
                </c:pt>
                <c:pt idx="4">
                  <c:v>122.62751999999999</c:v>
                </c:pt>
                <c:pt idx="5">
                  <c:v>255.85247999999999</c:v>
                </c:pt>
                <c:pt idx="6">
                  <c:v>9.4619999999999997</c:v>
                </c:pt>
                <c:pt idx="7">
                  <c:v>9.4619999999999997</c:v>
                </c:pt>
                <c:pt idx="8">
                  <c:v>37.847999999999999</c:v>
                </c:pt>
                <c:pt idx="9">
                  <c:v>63.963119999999996</c:v>
                </c:pt>
                <c:pt idx="10">
                  <c:v>3.40632</c:v>
                </c:pt>
                <c:pt idx="11">
                  <c:v>54.50112</c:v>
                </c:pt>
                <c:pt idx="12">
                  <c:v>30.656879999999997</c:v>
                </c:pt>
                <c:pt idx="13">
                  <c:v>9.4619999999999997</c:v>
                </c:pt>
                <c:pt idx="14">
                  <c:v>45.796079999999996</c:v>
                </c:pt>
                <c:pt idx="15">
                  <c:v>85.158000000000001</c:v>
                </c:pt>
                <c:pt idx="16">
                  <c:v>183.18431999999999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99-4A54-B2BA-E73DC6B047F9}"/>
            </c:ext>
          </c:extLst>
        </c:ser>
        <c:ser>
          <c:idx val="1"/>
          <c:order val="1"/>
          <c:tx>
            <c:v>Velocity </c:v>
          </c:tx>
          <c:spPr>
            <a:ln w="25400" cap="rnd">
              <a:solidFill>
                <a:srgbClr val="FF0000"/>
              </a:solidFill>
              <a:round/>
            </a:ln>
            <a:effectLst>
              <a:glow rad="88900">
                <a:srgbClr val="FF0000">
                  <a:alpha val="30000"/>
                </a:srgbClr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 rad="88900">
                  <a:srgbClr val="FF0000">
                    <a:alpha val="30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Sheet1!$Q$24:$Q$40</c:f>
              <c:numCache>
                <c:formatCode>0.00</c:formatCode>
                <c:ptCount val="17"/>
                <c:pt idx="0">
                  <c:v>0</c:v>
                </c:pt>
                <c:pt idx="1">
                  <c:v>28</c:v>
                </c:pt>
                <c:pt idx="2">
                  <c:v>4.47</c:v>
                </c:pt>
                <c:pt idx="3">
                  <c:v>16</c:v>
                </c:pt>
                <c:pt idx="4">
                  <c:v>18</c:v>
                </c:pt>
                <c:pt idx="5">
                  <c:v>26</c:v>
                </c:pt>
                <c:pt idx="6">
                  <c:v>5</c:v>
                </c:pt>
                <c:pt idx="7">
                  <c:v>5</c:v>
                </c:pt>
                <c:pt idx="8">
                  <c:v>10</c:v>
                </c:pt>
                <c:pt idx="9">
                  <c:v>13</c:v>
                </c:pt>
                <c:pt idx="10">
                  <c:v>3</c:v>
                </c:pt>
                <c:pt idx="11">
                  <c:v>12</c:v>
                </c:pt>
                <c:pt idx="12">
                  <c:v>9</c:v>
                </c:pt>
                <c:pt idx="13">
                  <c:v>5</c:v>
                </c:pt>
                <c:pt idx="14">
                  <c:v>11</c:v>
                </c:pt>
                <c:pt idx="15">
                  <c:v>15</c:v>
                </c:pt>
                <c:pt idx="16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C99-4A54-B2BA-E73DC6B04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  <c:max val="31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Aerodynamic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0144801571934658"/>
          <c:y val="3.6690523821741858E-2"/>
          <c:w val="0.13387783721934576"/>
          <c:h val="5.369964640228355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Gradient Resistance 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40839926885277766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rgbClr val="FFFF00"/>
              </a:solidFill>
              <a:round/>
            </a:ln>
            <a:effectLst>
              <a:glow rad="152400">
                <a:srgbClr val="00B050">
                  <a:alpha val="14000"/>
                </a:srgbClr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 rad="152400">
                  <a:srgbClr val="00B050">
                    <a:alpha val="14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Sheet1!$Y$24:$Y$40</c:f>
              <c:numCache>
                <c:formatCode>0.00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4651.7314088631156</c:v>
                </c:pt>
                <c:pt idx="3">
                  <c:v>-4511.6961544155074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596.67436913870495</c:v>
                </c:pt>
                <c:pt idx="9">
                  <c:v>-1542.4350994899237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596.67436913870495</c:v>
                </c:pt>
                <c:pt idx="14">
                  <c:v>0</c:v>
                </c:pt>
                <c:pt idx="15">
                  <c:v>-1535.032453728619</c:v>
                </c:pt>
                <c:pt idx="16">
                  <c:v>-5013.910788786101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6C-4987-BC3F-97B2D70CAA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  <c:max val="5000"/>
          <c:min val="-52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Gradient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Tractive Force </a:t>
            </a:r>
            <a:r>
              <a:rPr lang="en-GB"/>
              <a:t>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40839926885277766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rgbClr val="00B050"/>
              </a:solidFill>
              <a:round/>
            </a:ln>
            <a:effectLst>
              <a:glow rad="76200">
                <a:srgbClr val="33CC33">
                  <a:alpha val="32000"/>
                </a:srgbClr>
              </a:glo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glow rad="76200">
                  <a:srgbClr val="33CC33">
                    <a:alpha val="32000"/>
                  </a:srgbClr>
                </a:glo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Sheet1!$AB$24:$AB$40</c:f>
              <c:numCache>
                <c:formatCode>0.00</c:formatCode>
                <c:ptCount val="17"/>
                <c:pt idx="0">
                  <c:v>112.81500000000001</c:v>
                </c:pt>
                <c:pt idx="1">
                  <c:v>409.54331999999999</c:v>
                </c:pt>
                <c:pt idx="2">
                  <c:v>4772.1087798951148</c:v>
                </c:pt>
                <c:pt idx="3">
                  <c:v>-3286.6552744155074</c:v>
                </c:pt>
                <c:pt idx="4">
                  <c:v>573.88751999999999</c:v>
                </c:pt>
                <c:pt idx="5">
                  <c:v>1384.0024800000001</c:v>
                </c:pt>
                <c:pt idx="6">
                  <c:v>1137.6120000000001</c:v>
                </c:pt>
                <c:pt idx="7">
                  <c:v>1137.6120000000001</c:v>
                </c:pt>
                <c:pt idx="8">
                  <c:v>1762.6723691387051</c:v>
                </c:pt>
                <c:pt idx="9">
                  <c:v>-350.32197948992371</c:v>
                </c:pt>
                <c:pt idx="10">
                  <c:v>454.66632000000004</c:v>
                </c:pt>
                <c:pt idx="11">
                  <c:v>505.76112000000006</c:v>
                </c:pt>
                <c:pt idx="12">
                  <c:v>481.91688000000005</c:v>
                </c:pt>
                <c:pt idx="13">
                  <c:v>1057.396369138705</c:v>
                </c:pt>
                <c:pt idx="14">
                  <c:v>158.61108000000002</c:v>
                </c:pt>
                <c:pt idx="15">
                  <c:v>-1337.059453728619</c:v>
                </c:pt>
                <c:pt idx="16">
                  <c:v>-4717.9114687861011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B5-454D-B403-E4D38EFD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  <c:max val="5000"/>
          <c:min val="-50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Total</a:t>
                </a:r>
                <a:r>
                  <a:rPr lang="en-GB" sz="1200" baseline="0"/>
                  <a:t> tractive force </a:t>
                </a:r>
                <a:r>
                  <a:rPr lang="en-GB" sz="1200"/>
                  <a:t>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kumimoji="0" lang="en-GB" sz="1600" b="1" i="0" u="none" strike="noStrike" kern="1200" cap="none" spc="100" normalizeH="0" baseline="0" noProof="0">
                <a:ln>
                  <a:noFill/>
                </a:ln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uLnTx/>
                <a:uFillTx/>
                <a:latin typeface="Calibri" panose="020F0502020204030204"/>
              </a:rPr>
              <a:t>Power Requirement for Each Section</a:t>
            </a:r>
            <a:endParaRPr lang="en-GB"/>
          </a:p>
        </c:rich>
      </c:tx>
      <c:layout/>
      <c:overlay val="0"/>
      <c:spPr>
        <a:noFill/>
        <a:ln>
          <a:solidFill>
            <a:schemeClr val="bg1">
              <a:lumMod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Power Per Section</c:v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3"/>
            <c:invertIfNegative val="0"/>
            <c:bubble3D val="0"/>
            <c:spPr>
              <a:solidFill>
                <a:srgbClr val="33CC33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E40F-4EE8-829B-E68FDF6E251B}"/>
              </c:ext>
            </c:extLst>
          </c:dPt>
          <c:dPt>
            <c:idx val="9"/>
            <c:invertIfNegative val="0"/>
            <c:bubble3D val="0"/>
            <c:spPr>
              <a:solidFill>
                <a:srgbClr val="33CC33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40F-4EE8-829B-E68FDF6E251B}"/>
              </c:ext>
            </c:extLst>
          </c:dPt>
          <c:dPt>
            <c:idx val="15"/>
            <c:invertIfNegative val="0"/>
            <c:bubble3D val="0"/>
            <c:spPr>
              <a:solidFill>
                <a:srgbClr val="33CC33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E40F-4EE8-829B-E68FDF6E251B}"/>
              </c:ext>
            </c:extLst>
          </c:dPt>
          <c:dPt>
            <c:idx val="16"/>
            <c:invertIfNegative val="0"/>
            <c:bubble3D val="0"/>
            <c:spPr>
              <a:solidFill>
                <a:srgbClr val="33CC33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40F-4EE8-829B-E68FDF6E251B}"/>
              </c:ext>
            </c:extLst>
          </c:dPt>
          <c:val>
            <c:numRef>
              <c:f>Sheet1!$AE$24:$AE$40</c:f>
              <c:numCache>
                <c:formatCode>0.00</c:formatCode>
                <c:ptCount val="17"/>
                <c:pt idx="0">
                  <c:v>0</c:v>
                </c:pt>
                <c:pt idx="1">
                  <c:v>11467.212960000001</c:v>
                </c:pt>
                <c:pt idx="2">
                  <c:v>21331.326246131161</c:v>
                </c:pt>
                <c:pt idx="3">
                  <c:v>-52586.484390648118</c:v>
                </c:pt>
                <c:pt idx="4">
                  <c:v>10329.97536</c:v>
                </c:pt>
                <c:pt idx="5">
                  <c:v>35984.064480000001</c:v>
                </c:pt>
                <c:pt idx="6">
                  <c:v>5688.06</c:v>
                </c:pt>
                <c:pt idx="7">
                  <c:v>5688.06</c:v>
                </c:pt>
                <c:pt idx="8">
                  <c:v>17626.723691387051</c:v>
                </c:pt>
                <c:pt idx="9">
                  <c:v>-4554.1857333690077</c:v>
                </c:pt>
                <c:pt idx="10">
                  <c:v>1363.9989600000001</c:v>
                </c:pt>
                <c:pt idx="11">
                  <c:v>6069.1334400000005</c:v>
                </c:pt>
                <c:pt idx="12">
                  <c:v>4337.2519200000006</c:v>
                </c:pt>
                <c:pt idx="13">
                  <c:v>5286.9818456935254</c:v>
                </c:pt>
                <c:pt idx="14">
                  <c:v>1744.7218800000001</c:v>
                </c:pt>
                <c:pt idx="15">
                  <c:v>-20055.891805929285</c:v>
                </c:pt>
                <c:pt idx="16">
                  <c:v>-103794.05231329422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0F-4EE8-829B-E68FDF6E2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01782272"/>
        <c:axId val="701778992"/>
      </c:barChart>
      <c:lineChart>
        <c:grouping val="standard"/>
        <c:varyColors val="0"/>
        <c:ser>
          <c:idx val="2"/>
          <c:order val="1"/>
          <c:tx>
            <c:v>Max Power</c:v>
          </c:tx>
          <c:spPr>
            <a:ln w="38100" cap="rnd">
              <a:solidFill>
                <a:schemeClr val="accent3"/>
              </a:solidFill>
              <a:round/>
            </a:ln>
            <a:effectLst>
              <a:glow>
                <a:schemeClr val="bg1"/>
              </a:glow>
            </a:effectLst>
          </c:spPr>
          <c:marker>
            <c:symbol val="none"/>
          </c:marker>
          <c:val>
            <c:numRef>
              <c:f>Sheet1!$AS$24:$AS$40</c:f>
              <c:numCache>
                <c:formatCode>0.00</c:formatCode>
                <c:ptCount val="17"/>
                <c:pt idx="0">
                  <c:v>38777</c:v>
                </c:pt>
                <c:pt idx="1">
                  <c:v>38777</c:v>
                </c:pt>
                <c:pt idx="2">
                  <c:v>38777</c:v>
                </c:pt>
                <c:pt idx="3">
                  <c:v>38777</c:v>
                </c:pt>
                <c:pt idx="4">
                  <c:v>38777</c:v>
                </c:pt>
                <c:pt idx="5">
                  <c:v>38777</c:v>
                </c:pt>
                <c:pt idx="6">
                  <c:v>38777</c:v>
                </c:pt>
                <c:pt idx="7">
                  <c:v>38777</c:v>
                </c:pt>
                <c:pt idx="8">
                  <c:v>38777</c:v>
                </c:pt>
                <c:pt idx="9">
                  <c:v>38777</c:v>
                </c:pt>
                <c:pt idx="10">
                  <c:v>38777</c:v>
                </c:pt>
                <c:pt idx="11">
                  <c:v>38777</c:v>
                </c:pt>
                <c:pt idx="12">
                  <c:v>38777</c:v>
                </c:pt>
                <c:pt idx="13">
                  <c:v>38777</c:v>
                </c:pt>
                <c:pt idx="14">
                  <c:v>38777</c:v>
                </c:pt>
                <c:pt idx="15">
                  <c:v>38777</c:v>
                </c:pt>
                <c:pt idx="16">
                  <c:v>38777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E40F-4EE8-829B-E68FDF6E2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1782272"/>
        <c:axId val="701778992"/>
      </c:lineChart>
      <c:catAx>
        <c:axId val="70178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Section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effectLst>
                  <a:glow rad="711200">
                    <a:schemeClr val="bg2">
                      <a:lumMod val="25000"/>
                      <a:alpha val="65000"/>
                    </a:schemeClr>
                  </a:glow>
                </a:effectLst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778992"/>
        <c:crosses val="autoZero"/>
        <c:auto val="1"/>
        <c:lblAlgn val="ctr"/>
        <c:lblOffset val="50"/>
        <c:noMultiLvlLbl val="0"/>
      </c:catAx>
      <c:valAx>
        <c:axId val="701778992"/>
        <c:scaling>
          <c:orientation val="minMax"/>
          <c:max val="45000"/>
          <c:min val="-1100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782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1844294964040247"/>
          <c:y val="3.0326165830112738E-2"/>
          <c:w val="0.15169934359297985"/>
          <c:h val="5.369964640228355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 Average Power Requirement</a:t>
            </a:r>
            <a:r>
              <a:rPr lang="en-GB" baseline="0"/>
              <a:t> </a:t>
            </a:r>
            <a:r>
              <a:rPr lang="en-GB"/>
              <a:t>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35511535409311007"/>
          <c:y val="2.2275252970701903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Average Power Requirement</c:v>
          </c:tx>
          <c:spPr>
            <a:ln w="38100" cap="rnd">
              <a:solidFill>
                <a:srgbClr val="F73703"/>
              </a:solidFill>
              <a:round/>
            </a:ln>
            <a:effectLst>
              <a:glow rad="63500">
                <a:srgbClr val="FFFF00">
                  <a:alpha val="10000"/>
                </a:srgbClr>
              </a:glo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73703"/>
                </a:solidFill>
                <a:round/>
              </a:ln>
              <a:effectLst>
                <a:glow rad="63500">
                  <a:srgbClr val="FFFF00">
                    <a:alpha val="10000"/>
                  </a:srgbClr>
                </a:glo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Sheet1!$AO$24:$AO$40</c:f>
              <c:numCache>
                <c:formatCode>0.00</c:formatCode>
                <c:ptCount val="17"/>
                <c:pt idx="0">
                  <c:v>0</c:v>
                </c:pt>
                <c:pt idx="1">
                  <c:v>2140.5464192000004</c:v>
                </c:pt>
                <c:pt idx="2">
                  <c:v>6356.7352213470858</c:v>
                </c:pt>
                <c:pt idx="3">
                  <c:v>-28046.125008345662</c:v>
                </c:pt>
                <c:pt idx="4">
                  <c:v>37187.911295999998</c:v>
                </c:pt>
                <c:pt idx="5">
                  <c:v>9355.8567648000007</c:v>
                </c:pt>
                <c:pt idx="6">
                  <c:v>948.0100000000001</c:v>
                </c:pt>
                <c:pt idx="7">
                  <c:v>632.00666666666666</c:v>
                </c:pt>
                <c:pt idx="8">
                  <c:v>29377.87281897842</c:v>
                </c:pt>
                <c:pt idx="9">
                  <c:v>-5920.4414533797099</c:v>
                </c:pt>
                <c:pt idx="10">
                  <c:v>1022.9992200000002</c:v>
                </c:pt>
                <c:pt idx="11">
                  <c:v>827.60910545454556</c:v>
                </c:pt>
                <c:pt idx="12">
                  <c:v>443.58258272727278</c:v>
                </c:pt>
                <c:pt idx="13">
                  <c:v>4405.8182047446044</c:v>
                </c:pt>
                <c:pt idx="14">
                  <c:v>3198.6567800000003</c:v>
                </c:pt>
                <c:pt idx="15">
                  <c:v>-6016.767541778785</c:v>
                </c:pt>
                <c:pt idx="16">
                  <c:v>-32620.987869892469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FF2-493A-8378-D95801B456C0}"/>
            </c:ext>
          </c:extLst>
        </c:ser>
        <c:ser>
          <c:idx val="1"/>
          <c:order val="1"/>
          <c:tx>
            <c:v>Max Power</c:v>
          </c:tx>
          <c:spPr>
            <a:ln w="381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Sheet1!$AS$24:$AS$40</c:f>
              <c:numCache>
                <c:formatCode>0.00</c:formatCode>
                <c:ptCount val="17"/>
                <c:pt idx="0">
                  <c:v>38777</c:v>
                </c:pt>
                <c:pt idx="1">
                  <c:v>38777</c:v>
                </c:pt>
                <c:pt idx="2">
                  <c:v>38777</c:v>
                </c:pt>
                <c:pt idx="3">
                  <c:v>38777</c:v>
                </c:pt>
                <c:pt idx="4">
                  <c:v>38777</c:v>
                </c:pt>
                <c:pt idx="5">
                  <c:v>38777</c:v>
                </c:pt>
                <c:pt idx="6">
                  <c:v>38777</c:v>
                </c:pt>
                <c:pt idx="7">
                  <c:v>38777</c:v>
                </c:pt>
                <c:pt idx="8">
                  <c:v>38777</c:v>
                </c:pt>
                <c:pt idx="9">
                  <c:v>38777</c:v>
                </c:pt>
                <c:pt idx="10">
                  <c:v>38777</c:v>
                </c:pt>
                <c:pt idx="11">
                  <c:v>38777</c:v>
                </c:pt>
                <c:pt idx="12">
                  <c:v>38777</c:v>
                </c:pt>
                <c:pt idx="13">
                  <c:v>38777</c:v>
                </c:pt>
                <c:pt idx="14">
                  <c:v>38777</c:v>
                </c:pt>
                <c:pt idx="15">
                  <c:v>38777</c:v>
                </c:pt>
                <c:pt idx="16">
                  <c:v>38777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FF2-493A-8378-D95801B456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Average power requirements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1021789398365278"/>
          <c:y val="3.0326165830112731E-2"/>
          <c:w val="0.18919782568162585"/>
          <c:h val="5.369964640228355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Positive Average Power Requirement</a:t>
            </a:r>
            <a:r>
              <a:rPr lang="en-GB" baseline="0"/>
              <a:t> </a:t>
            </a:r>
            <a:r>
              <a:rPr lang="en-GB"/>
              <a:t>Vs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3502873516791089"/>
          <c:y val="2.863961096233102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Average Power Requirement</c:v>
          </c:tx>
          <c:spPr>
            <a:ln w="38100" cap="rnd">
              <a:solidFill>
                <a:srgbClr val="F73703"/>
              </a:solidFill>
              <a:round/>
            </a:ln>
            <a:effectLst>
              <a:glow rad="63500">
                <a:srgbClr val="FFFF00">
                  <a:alpha val="10000"/>
                </a:srgbClr>
              </a:glo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73703"/>
                </a:solidFill>
                <a:round/>
              </a:ln>
              <a:effectLst>
                <a:glow rad="63500">
                  <a:srgbClr val="FFFF00">
                    <a:alpha val="10000"/>
                  </a:srgbClr>
                </a:glo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forward val="2"/>
            <c:dispRSqr val="0"/>
            <c:dispEq val="0"/>
          </c:trendline>
          <c:xVal>
            <c:numRef>
              <c:f>(Sheet1!$O$24:$O$26,Sheet1!$O$28:$O$32,Sheet1!$O$34:$O$38)</c:f>
              <c:numCache>
                <c:formatCode>0.00</c:formatCode>
                <c:ptCount val="13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10.865625332907213</c:v>
                </c:pt>
                <c:pt idx="4">
                  <c:v>14.711779179061059</c:v>
                </c:pt>
                <c:pt idx="5">
                  <c:v>20.711779179061061</c:v>
                </c:pt>
                <c:pt idx="6">
                  <c:v>29.711779179061061</c:v>
                </c:pt>
                <c:pt idx="7">
                  <c:v>30.311779179061062</c:v>
                </c:pt>
                <c:pt idx="8">
                  <c:v>32.414343281625165</c:v>
                </c:pt>
                <c:pt idx="9">
                  <c:v>39.7476766149585</c:v>
                </c:pt>
                <c:pt idx="10">
                  <c:v>49.525454392736279</c:v>
                </c:pt>
                <c:pt idx="11">
                  <c:v>50.725454392736282</c:v>
                </c:pt>
                <c:pt idx="12">
                  <c:v>51.270908938190829</c:v>
                </c:pt>
              </c:numCache>
            </c:numRef>
          </c:xVal>
          <c:yVal>
            <c:numRef>
              <c:f>(Sheet1!$AO$24:$AO$26,Sheet1!$AO$28:$AO$32,Sheet1!$AO$34:$AO$38)</c:f>
              <c:numCache>
                <c:formatCode>0.00</c:formatCode>
                <c:ptCount val="13"/>
                <c:pt idx="0">
                  <c:v>0</c:v>
                </c:pt>
                <c:pt idx="1">
                  <c:v>2140.5464192000004</c:v>
                </c:pt>
                <c:pt idx="2">
                  <c:v>6356.7352213470858</c:v>
                </c:pt>
                <c:pt idx="3">
                  <c:v>37187.911295999998</c:v>
                </c:pt>
                <c:pt idx="4">
                  <c:v>9355.8567648000007</c:v>
                </c:pt>
                <c:pt idx="5">
                  <c:v>948.0100000000001</c:v>
                </c:pt>
                <c:pt idx="6">
                  <c:v>632.00666666666666</c:v>
                </c:pt>
                <c:pt idx="7">
                  <c:v>29377.87281897842</c:v>
                </c:pt>
                <c:pt idx="8">
                  <c:v>1022.9992200000002</c:v>
                </c:pt>
                <c:pt idx="9">
                  <c:v>827.60910545454556</c:v>
                </c:pt>
                <c:pt idx="10">
                  <c:v>443.58258272727278</c:v>
                </c:pt>
                <c:pt idx="11">
                  <c:v>4405.8182047446044</c:v>
                </c:pt>
                <c:pt idx="12">
                  <c:v>3198.6567800000003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22-406B-975D-BEE49A101E00}"/>
            </c:ext>
          </c:extLst>
        </c:ser>
        <c:ser>
          <c:idx val="1"/>
          <c:order val="1"/>
          <c:tx>
            <c:v>Max Power</c:v>
          </c:tx>
          <c:spPr>
            <a:ln w="381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noFill/>
              <a:ln w="9525" cap="rnd">
                <a:noFill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Sheet1!$O$24:$O$40</c:f>
              <c:numCache>
                <c:formatCode>0.00</c:formatCode>
                <c:ptCount val="17"/>
                <c:pt idx="0">
                  <c:v>0</c:v>
                </c:pt>
                <c:pt idx="1">
                  <c:v>5.3571428571428568</c:v>
                </c:pt>
                <c:pt idx="2">
                  <c:v>8.712847555129434</c:v>
                </c:pt>
                <c:pt idx="3">
                  <c:v>10.587847555129434</c:v>
                </c:pt>
                <c:pt idx="4">
                  <c:v>10.865625332907213</c:v>
                </c:pt>
                <c:pt idx="5">
                  <c:v>14.711779179061059</c:v>
                </c:pt>
                <c:pt idx="6">
                  <c:v>20.711779179061061</c:v>
                </c:pt>
                <c:pt idx="7">
                  <c:v>29.711779179061061</c:v>
                </c:pt>
                <c:pt idx="8">
                  <c:v>30.311779179061062</c:v>
                </c:pt>
                <c:pt idx="9">
                  <c:v>31.081009948291833</c:v>
                </c:pt>
                <c:pt idx="10">
                  <c:v>32.414343281625165</c:v>
                </c:pt>
                <c:pt idx="11">
                  <c:v>39.7476766149585</c:v>
                </c:pt>
                <c:pt idx="12">
                  <c:v>49.525454392736279</c:v>
                </c:pt>
                <c:pt idx="13">
                  <c:v>50.725454392736282</c:v>
                </c:pt>
                <c:pt idx="14">
                  <c:v>51.270908938190829</c:v>
                </c:pt>
                <c:pt idx="15">
                  <c:v>54.604242271524164</c:v>
                </c:pt>
                <c:pt idx="16">
                  <c:v>57.786060453342344</c:v>
                </c:pt>
              </c:numCache>
            </c:numRef>
          </c:xVal>
          <c:yVal>
            <c:numRef>
              <c:f>Sheet1!$AS$24:$AS$40</c:f>
              <c:numCache>
                <c:formatCode>0.00</c:formatCode>
                <c:ptCount val="17"/>
                <c:pt idx="0">
                  <c:v>38777</c:v>
                </c:pt>
                <c:pt idx="1">
                  <c:v>38777</c:v>
                </c:pt>
                <c:pt idx="2">
                  <c:v>38777</c:v>
                </c:pt>
                <c:pt idx="3">
                  <c:v>38777</c:v>
                </c:pt>
                <c:pt idx="4">
                  <c:v>38777</c:v>
                </c:pt>
                <c:pt idx="5">
                  <c:v>38777</c:v>
                </c:pt>
                <c:pt idx="6">
                  <c:v>38777</c:v>
                </c:pt>
                <c:pt idx="7">
                  <c:v>38777</c:v>
                </c:pt>
                <c:pt idx="8">
                  <c:v>38777</c:v>
                </c:pt>
                <c:pt idx="9">
                  <c:v>38777</c:v>
                </c:pt>
                <c:pt idx="10">
                  <c:v>38777</c:v>
                </c:pt>
                <c:pt idx="11">
                  <c:v>38777</c:v>
                </c:pt>
                <c:pt idx="12">
                  <c:v>38777</c:v>
                </c:pt>
                <c:pt idx="13">
                  <c:v>38777</c:v>
                </c:pt>
                <c:pt idx="14">
                  <c:v>38777</c:v>
                </c:pt>
                <c:pt idx="15">
                  <c:v>38777</c:v>
                </c:pt>
                <c:pt idx="16">
                  <c:v>38777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22-406B-975D-BEE49A101E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 (seconds)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POSITIVE AVG  power requirements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1021789398365278"/>
          <c:y val="3.0326165830112731E-2"/>
          <c:w val="0.31070254721479074"/>
          <c:h val="5.369964640228355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BSFC</a:t>
            </a:r>
            <a:r>
              <a:rPr lang="en-GB" baseline="0"/>
              <a:t> </a:t>
            </a:r>
            <a:r>
              <a:rPr lang="en-GB"/>
              <a:t>Vs</a:t>
            </a:r>
            <a:r>
              <a:rPr lang="en-GB" baseline="0"/>
              <a:t> Distance</a:t>
            </a:r>
            <a:endParaRPr lang="en-GB"/>
          </a:p>
        </c:rich>
      </c:tx>
      <c:layout>
        <c:manualLayout>
          <c:xMode val="edge"/>
          <c:yMode val="edge"/>
          <c:x val="0.44177232613503759"/>
          <c:y val="2.545743196651646E-2"/>
        </c:manualLayout>
      </c:layout>
      <c:overlay val="0"/>
      <c:spPr>
        <a:noFill/>
        <a:ln w="1270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solidFill>
                <a:srgbClr val="33CC33"/>
              </a:solidFill>
              <a:round/>
            </a:ln>
            <a:effectLst>
              <a:glow rad="114300">
                <a:srgbClr val="FFFF00">
                  <a:alpha val="16000"/>
                </a:srgbClr>
              </a:glo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chemeClr val="bg1"/>
                </a:solidFill>
                <a:round/>
              </a:ln>
              <a:effectLst>
                <a:glow rad="114300">
                  <a:srgbClr val="FFFF00">
                    <a:alpha val="16000"/>
                  </a:srgbClr>
                </a:glow>
              </a:effectLst>
            </c:spPr>
          </c:marker>
          <c:xVal>
            <c:numRef>
              <c:f>Sheet1!$I$24:$I$40</c:f>
              <c:numCache>
                <c:formatCode>0.00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165</c:v>
                </c:pt>
                <c:pt idx="3">
                  <c:v>195</c:v>
                </c:pt>
                <c:pt idx="4">
                  <c:v>200</c:v>
                </c:pt>
                <c:pt idx="5">
                  <c:v>300</c:v>
                </c:pt>
                <c:pt idx="6">
                  <c:v>330</c:v>
                </c:pt>
                <c:pt idx="7">
                  <c:v>375</c:v>
                </c:pt>
                <c:pt idx="8">
                  <c:v>381</c:v>
                </c:pt>
                <c:pt idx="9">
                  <c:v>391</c:v>
                </c:pt>
                <c:pt idx="10">
                  <c:v>395</c:v>
                </c:pt>
                <c:pt idx="11">
                  <c:v>483</c:v>
                </c:pt>
                <c:pt idx="12">
                  <c:v>571</c:v>
                </c:pt>
                <c:pt idx="13">
                  <c:v>577</c:v>
                </c:pt>
                <c:pt idx="14">
                  <c:v>583</c:v>
                </c:pt>
                <c:pt idx="15">
                  <c:v>633</c:v>
                </c:pt>
                <c:pt idx="16">
                  <c:v>703</c:v>
                </c:pt>
              </c:numCache>
            </c:numRef>
          </c:xVal>
          <c:yVal>
            <c:numRef>
              <c:f>Sheet1!$BE$24:$BE$40</c:f>
              <c:numCache>
                <c:formatCode>0.00</c:formatCode>
                <c:ptCount val="17"/>
                <c:pt idx="0">
                  <c:v>0</c:v>
                </c:pt>
                <c:pt idx="1">
                  <c:v>446.1179598662207</c:v>
                </c:pt>
                <c:pt idx="2">
                  <c:v>490.72975585284286</c:v>
                </c:pt>
                <c:pt idx="3">
                  <c:v>535.34155183946496</c:v>
                </c:pt>
                <c:pt idx="4">
                  <c:v>535.34155183946496</c:v>
                </c:pt>
                <c:pt idx="5">
                  <c:v>535.34155183946496</c:v>
                </c:pt>
                <c:pt idx="6">
                  <c:v>178.44718394648828</c:v>
                </c:pt>
                <c:pt idx="7">
                  <c:v>223.05897993311035</c:v>
                </c:pt>
                <c:pt idx="8">
                  <c:v>535.34155183946496</c:v>
                </c:pt>
                <c:pt idx="9">
                  <c:v>446.1179598662207</c:v>
                </c:pt>
                <c:pt idx="10">
                  <c:v>223.05897993311035</c:v>
                </c:pt>
                <c:pt idx="11">
                  <c:v>356.89436789297656</c:v>
                </c:pt>
                <c:pt idx="12">
                  <c:v>401.50616387959866</c:v>
                </c:pt>
                <c:pt idx="13">
                  <c:v>535.34155183946496</c:v>
                </c:pt>
                <c:pt idx="14">
                  <c:v>312.28257190635452</c:v>
                </c:pt>
                <c:pt idx="15">
                  <c:v>312.28257190635452</c:v>
                </c:pt>
                <c:pt idx="16">
                  <c:v>535.34155183946496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73-4794-870E-F91DDC958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093512"/>
        <c:axId val="1528096464"/>
      </c:scatterChart>
      <c:valAx>
        <c:axId val="1528093512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Distance (meter)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6464"/>
        <c:crosses val="autoZero"/>
        <c:crossBetween val="midCat"/>
      </c:valAx>
      <c:valAx>
        <c:axId val="152809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BSFC (G/KW.H)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8093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13" Type="http://schemas.openxmlformats.org/officeDocument/2006/relationships/chart" Target="../charts/chart11.xml"/><Relationship Id="rId3" Type="http://schemas.openxmlformats.org/officeDocument/2006/relationships/image" Target="../media/image2.jpg"/><Relationship Id="rId7" Type="http://schemas.openxmlformats.org/officeDocument/2006/relationships/chart" Target="../charts/chart5.xml"/><Relationship Id="rId12" Type="http://schemas.openxmlformats.org/officeDocument/2006/relationships/chart" Target="../charts/chart10.xml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6" Type="http://schemas.openxmlformats.org/officeDocument/2006/relationships/chart" Target="../charts/chart4.xml"/><Relationship Id="rId11" Type="http://schemas.openxmlformats.org/officeDocument/2006/relationships/chart" Target="../charts/chart9.xml"/><Relationship Id="rId5" Type="http://schemas.openxmlformats.org/officeDocument/2006/relationships/chart" Target="../charts/chart3.xml"/><Relationship Id="rId10" Type="http://schemas.openxmlformats.org/officeDocument/2006/relationships/chart" Target="../charts/chart8.xml"/><Relationship Id="rId4" Type="http://schemas.openxmlformats.org/officeDocument/2006/relationships/chart" Target="../charts/chart2.xml"/><Relationship Id="rId9" Type="http://schemas.openxmlformats.org/officeDocument/2006/relationships/chart" Target="../charts/chart7.xml"/><Relationship Id="rId1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85725</xdr:colOff>
      <xdr:row>1</xdr:row>
      <xdr:rowOff>0</xdr:rowOff>
    </xdr:from>
    <xdr:to>
      <xdr:col>13</xdr:col>
      <xdr:colOff>295275</xdr:colOff>
      <xdr:row>19</xdr:row>
      <xdr:rowOff>190500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3725" y="238125"/>
          <a:ext cx="5114925" cy="3819525"/>
        </a:xfrm>
        <a:prstGeom prst="rect">
          <a:avLst/>
        </a:prstGeom>
        <a:ln w="57150" cap="sq">
          <a:solidFill>
            <a:srgbClr val="F56139"/>
          </a:solidFill>
          <a:prstDash val="solid"/>
          <a:miter lim="800000"/>
        </a:ln>
        <a:effectLst/>
      </xdr:spPr>
    </xdr:pic>
    <xdr:clientData/>
  </xdr:twoCellAnchor>
  <xdr:twoCellAnchor>
    <xdr:from>
      <xdr:col>16</xdr:col>
      <xdr:colOff>609599</xdr:colOff>
      <xdr:row>0</xdr:row>
      <xdr:rowOff>0</xdr:rowOff>
    </xdr:from>
    <xdr:to>
      <xdr:col>29</xdr:col>
      <xdr:colOff>600075</xdr:colOff>
      <xdr:row>20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</xdr:colOff>
      <xdr:row>14</xdr:row>
      <xdr:rowOff>152401</xdr:rowOff>
    </xdr:from>
    <xdr:to>
      <xdr:col>18</xdr:col>
      <xdr:colOff>314325</xdr:colOff>
      <xdr:row>18</xdr:row>
      <xdr:rowOff>190500</xdr:rowOff>
    </xdr:to>
    <xdr:sp macro="" textlink="">
      <xdr:nvSpPr>
        <xdr:cNvPr id="4" name="Rectangle 3"/>
        <xdr:cNvSpPr/>
      </xdr:nvSpPr>
      <xdr:spPr>
        <a:xfrm>
          <a:off x="11430001" y="2990851"/>
          <a:ext cx="1190624" cy="838199"/>
        </a:xfrm>
        <a:prstGeom prst="rect">
          <a:avLst/>
        </a:prstGeom>
        <a:noFill/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200" b="1" u="sng">
              <a:solidFill>
                <a:schemeClr val="bg1"/>
              </a:solidFill>
            </a:rPr>
            <a:t>Track Surface</a:t>
          </a:r>
        </a:p>
        <a:p>
          <a:pPr algn="l"/>
          <a:r>
            <a:rPr lang="en-GB" sz="1200" b="1">
              <a:solidFill>
                <a:schemeClr val="tx1">
                  <a:lumMod val="75000"/>
                  <a:lumOff val="25000"/>
                </a:schemeClr>
              </a:solidFill>
            </a:rPr>
            <a:t>-- Gravel</a:t>
          </a:r>
        </a:p>
        <a:p>
          <a:pPr algn="l"/>
          <a:r>
            <a:rPr lang="en-GB" sz="1200" b="1">
              <a:solidFill>
                <a:schemeClr val="accent2">
                  <a:lumMod val="50000"/>
                </a:schemeClr>
              </a:solidFill>
            </a:rPr>
            <a:t>-- Mud</a:t>
          </a:r>
        </a:p>
        <a:p>
          <a:pPr algn="l"/>
          <a:r>
            <a:rPr lang="en-GB" sz="1200" b="1" baseline="0">
              <a:solidFill>
                <a:schemeClr val="accent6">
                  <a:lumMod val="50000"/>
                </a:schemeClr>
              </a:solidFill>
            </a:rPr>
            <a:t>-- Grass</a:t>
          </a:r>
          <a:endParaRPr lang="en-GB" sz="12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30</xdr:col>
      <xdr:colOff>57150</xdr:colOff>
      <xdr:row>0</xdr:row>
      <xdr:rowOff>85727</xdr:rowOff>
    </xdr:from>
    <xdr:to>
      <xdr:col>42</xdr:col>
      <xdr:colOff>244475</xdr:colOff>
      <xdr:row>20</xdr:row>
      <xdr:rowOff>85726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85727"/>
          <a:ext cx="7845425" cy="4067174"/>
        </a:xfrm>
        <a:prstGeom prst="rect">
          <a:avLst/>
        </a:prstGeom>
        <a:ln w="76200" cap="sq">
          <a:solidFill>
            <a:srgbClr val="F56139"/>
          </a:solidFill>
          <a:prstDash val="solid"/>
          <a:miter lim="800000"/>
        </a:ln>
        <a:effectLst/>
      </xdr:spPr>
    </xdr:pic>
    <xdr:clientData/>
  </xdr:twoCellAnchor>
  <xdr:twoCellAnchor>
    <xdr:from>
      <xdr:col>0</xdr:col>
      <xdr:colOff>0</xdr:colOff>
      <xdr:row>42</xdr:row>
      <xdr:rowOff>9524</xdr:rowOff>
    </xdr:from>
    <xdr:to>
      <xdr:col>23</xdr:col>
      <xdr:colOff>9525</xdr:colOff>
      <xdr:row>63</xdr:row>
      <xdr:rowOff>0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65</xdr:row>
      <xdr:rowOff>9525</xdr:rowOff>
    </xdr:from>
    <xdr:to>
      <xdr:col>23</xdr:col>
      <xdr:colOff>9525</xdr:colOff>
      <xdr:row>86</xdr:row>
      <xdr:rowOff>1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88</xdr:row>
      <xdr:rowOff>0</xdr:rowOff>
    </xdr:from>
    <xdr:to>
      <xdr:col>23</xdr:col>
      <xdr:colOff>9525</xdr:colOff>
      <xdr:row>108</xdr:row>
      <xdr:rowOff>180976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111</xdr:row>
      <xdr:rowOff>0</xdr:rowOff>
    </xdr:from>
    <xdr:to>
      <xdr:col>23</xdr:col>
      <xdr:colOff>9525</xdr:colOff>
      <xdr:row>131</xdr:row>
      <xdr:rowOff>180976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134</xdr:row>
      <xdr:rowOff>0</xdr:rowOff>
    </xdr:from>
    <xdr:to>
      <xdr:col>23</xdr:col>
      <xdr:colOff>9525</xdr:colOff>
      <xdr:row>154</xdr:row>
      <xdr:rowOff>180976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23</xdr:col>
      <xdr:colOff>9525</xdr:colOff>
      <xdr:row>177</xdr:row>
      <xdr:rowOff>180976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180</xdr:row>
      <xdr:rowOff>0</xdr:rowOff>
    </xdr:from>
    <xdr:to>
      <xdr:col>23</xdr:col>
      <xdr:colOff>9525</xdr:colOff>
      <xdr:row>200</xdr:row>
      <xdr:rowOff>180976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203</xdr:row>
      <xdr:rowOff>0</xdr:rowOff>
    </xdr:from>
    <xdr:to>
      <xdr:col>23</xdr:col>
      <xdr:colOff>9525</xdr:colOff>
      <xdr:row>223</xdr:row>
      <xdr:rowOff>180976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226</xdr:row>
      <xdr:rowOff>0</xdr:rowOff>
    </xdr:from>
    <xdr:to>
      <xdr:col>23</xdr:col>
      <xdr:colOff>9525</xdr:colOff>
      <xdr:row>246</xdr:row>
      <xdr:rowOff>180976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249</xdr:row>
      <xdr:rowOff>0</xdr:rowOff>
    </xdr:from>
    <xdr:to>
      <xdr:col>23</xdr:col>
      <xdr:colOff>9525</xdr:colOff>
      <xdr:row>269</xdr:row>
      <xdr:rowOff>180976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272</xdr:row>
      <xdr:rowOff>0</xdr:rowOff>
    </xdr:from>
    <xdr:to>
      <xdr:col>23</xdr:col>
      <xdr:colOff>9525</xdr:colOff>
      <xdr:row>292</xdr:row>
      <xdr:rowOff>180976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0.34264</cdr:x>
      <cdr:y>0.12773</cdr:y>
    </cdr:from>
    <cdr:to>
      <cdr:x>0.70455</cdr:x>
      <cdr:y>0.21841</cdr:y>
    </cdr:to>
    <cdr:sp macro="" textlink="">
      <cdr:nvSpPr>
        <cdr:cNvPr id="2" name="Rectangle 1"/>
        <cdr:cNvSpPr/>
      </cdr:nvSpPr>
      <cdr:spPr>
        <a:xfrm xmlns:a="http://schemas.openxmlformats.org/drawingml/2006/main" rot="222109">
          <a:off x="2712102" y="518291"/>
          <a:ext cx="2864592" cy="36794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rtl="0"/>
          <a:r>
            <a:rPr lang="en-US" sz="1800" b="1" i="0" baseline="0">
              <a:solidFill>
                <a:schemeClr val="lt1"/>
              </a:solidFill>
              <a:effectLst>
                <a:outerShdw blurRad="50800" dist="38100" dir="5400000" algn="t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TRACK ELEVATION GRAPH</a:t>
          </a:r>
          <a:endParaRPr lang="en-GB" sz="1800">
            <a:effectLst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0.89071</cdr:x>
      <cdr:y>0.17184</cdr:y>
    </cdr:from>
    <cdr:to>
      <cdr:x>0.95264</cdr:x>
      <cdr:y>0.24344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973174" y="685801"/>
          <a:ext cx="971551" cy="285751"/>
        </a:xfrm>
        <a:prstGeom xmlns:a="http://schemas.openxmlformats.org/drawingml/2006/main" prst="rect">
          <a:avLst/>
        </a:prstGeom>
        <a:ln xmlns:a="http://schemas.openxmlformats.org/drawingml/2006/main" w="28575">
          <a:noFill/>
        </a:ln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400" b="1">
              <a:solidFill>
                <a:schemeClr val="bg1"/>
              </a:solidFill>
            </a:rPr>
            <a:t>Max</a:t>
          </a:r>
          <a:r>
            <a:rPr lang="en-GB" sz="1400" b="1" baseline="0">
              <a:solidFill>
                <a:schemeClr val="bg1"/>
              </a:solidFill>
            </a:rPr>
            <a:t> Speed</a:t>
          </a:r>
          <a:endParaRPr lang="en-GB" sz="1400" b="1">
            <a:solidFill>
              <a:schemeClr val="bg1"/>
            </a:solidFill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0.90123</cdr:x>
      <cdr:y>0.15115</cdr:y>
    </cdr:from>
    <cdr:to>
      <cdr:x>0.96316</cdr:x>
      <cdr:y>0.22275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138275" y="603250"/>
          <a:ext cx="971538" cy="285754"/>
        </a:xfrm>
        <a:prstGeom xmlns:a="http://schemas.openxmlformats.org/drawingml/2006/main" prst="rect">
          <a:avLst/>
        </a:prstGeom>
        <a:ln xmlns:a="http://schemas.openxmlformats.org/drawingml/2006/main" w="28575">
          <a:noFill/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 b="1">
              <a:solidFill>
                <a:schemeClr val="bg1"/>
              </a:solidFill>
            </a:rPr>
            <a:t>Max</a:t>
          </a:r>
          <a:r>
            <a:rPr lang="en-GB" sz="1400" b="1" baseline="0">
              <a:solidFill>
                <a:schemeClr val="bg1"/>
              </a:solidFill>
            </a:rPr>
            <a:t> Power</a:t>
          </a:r>
          <a:endParaRPr lang="en-GB" sz="1400" b="1">
            <a:solidFill>
              <a:schemeClr val="bg1"/>
            </a:solidFill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0.8897</cdr:x>
      <cdr:y>0.14877</cdr:y>
    </cdr:from>
    <cdr:to>
      <cdr:x>0.95163</cdr:x>
      <cdr:y>0.22037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957300" y="593725"/>
          <a:ext cx="971538" cy="285754"/>
        </a:xfrm>
        <a:prstGeom xmlns:a="http://schemas.openxmlformats.org/drawingml/2006/main" prst="rect">
          <a:avLst/>
        </a:prstGeom>
        <a:ln xmlns:a="http://schemas.openxmlformats.org/drawingml/2006/main" w="28575">
          <a:noFill/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 b="1">
              <a:solidFill>
                <a:schemeClr val="bg1"/>
              </a:solidFill>
            </a:rPr>
            <a:t>Max</a:t>
          </a:r>
          <a:r>
            <a:rPr lang="en-GB" sz="1400" b="1" baseline="0">
              <a:solidFill>
                <a:schemeClr val="bg1"/>
              </a:solidFill>
            </a:rPr>
            <a:t> Power</a:t>
          </a:r>
          <a:endParaRPr lang="en-GB" sz="1400" b="1">
            <a:solidFill>
              <a:schemeClr val="bg1"/>
            </a:solidFill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0.8897</cdr:x>
      <cdr:y>0.14877</cdr:y>
    </cdr:from>
    <cdr:to>
      <cdr:x>0.95163</cdr:x>
      <cdr:y>0.22037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957300" y="593725"/>
          <a:ext cx="971538" cy="285754"/>
        </a:xfrm>
        <a:prstGeom xmlns:a="http://schemas.openxmlformats.org/drawingml/2006/main" prst="rect">
          <a:avLst/>
        </a:prstGeom>
        <a:ln xmlns:a="http://schemas.openxmlformats.org/drawingml/2006/main" w="28575">
          <a:noFill/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 b="1">
              <a:solidFill>
                <a:schemeClr val="bg1"/>
              </a:solidFill>
            </a:rPr>
            <a:t>Max</a:t>
          </a:r>
          <a:r>
            <a:rPr lang="en-GB" sz="1400" b="1" baseline="0">
              <a:solidFill>
                <a:schemeClr val="bg1"/>
              </a:solidFill>
            </a:rPr>
            <a:t> Power</a:t>
          </a:r>
          <a:endParaRPr lang="en-GB" sz="1400" b="1">
            <a:solidFill>
              <a:schemeClr val="bg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95"/>
  <sheetViews>
    <sheetView tabSelected="1" zoomScaleNormal="100" workbookViewId="0">
      <selection activeCell="BH10" sqref="BH10"/>
    </sheetView>
  </sheetViews>
  <sheetFormatPr defaultRowHeight="15" x14ac:dyDescent="0.25"/>
  <cols>
    <col min="1" max="1" width="9.140625" style="5" customWidth="1"/>
    <col min="2" max="2" width="9.140625" style="5"/>
    <col min="3" max="3" width="9.28515625" style="5" bestFit="1" customWidth="1"/>
    <col min="4" max="4" width="12.5703125" style="5" bestFit="1" customWidth="1"/>
    <col min="5" max="5" width="8.140625" style="5" customWidth="1"/>
    <col min="6" max="7" width="9.140625" style="5"/>
    <col min="8" max="9" width="9.28515625" style="5" bestFit="1" customWidth="1"/>
    <col min="10" max="11" width="9.140625" style="5"/>
    <col min="12" max="12" width="9.28515625" style="5" bestFit="1" customWidth="1"/>
    <col min="13" max="13" width="9.140625" style="5"/>
    <col min="14" max="14" width="10.140625" style="5" customWidth="1"/>
    <col min="15" max="15" width="20.5703125" style="5" customWidth="1"/>
    <col min="16" max="16" width="9.28515625" style="5" bestFit="1" customWidth="1"/>
    <col min="17" max="17" width="13.7109375" style="5" customWidth="1"/>
    <col min="18" max="18" width="13.140625" style="5" customWidth="1"/>
    <col min="19" max="19" width="14" style="5" customWidth="1"/>
    <col min="20" max="20" width="9.28515625" style="5" bestFit="1" customWidth="1"/>
    <col min="21" max="22" width="9.140625" style="5"/>
    <col min="23" max="23" width="9.28515625" style="5" bestFit="1" customWidth="1"/>
    <col min="24" max="24" width="9.140625" style="5"/>
    <col min="25" max="25" width="9.28515625" style="5" bestFit="1" customWidth="1"/>
    <col min="26" max="27" width="9.140625" style="5"/>
    <col min="28" max="28" width="9.28515625" style="5" bestFit="1" customWidth="1"/>
    <col min="29" max="29" width="9.140625" style="5" customWidth="1"/>
    <col min="30" max="30" width="9.140625" style="5"/>
    <col min="31" max="31" width="11.42578125" style="5" bestFit="1" customWidth="1"/>
    <col min="32" max="33" width="9.140625" style="5"/>
    <col min="34" max="34" width="10.7109375" style="5" bestFit="1" customWidth="1"/>
    <col min="35" max="37" width="9.140625" style="5"/>
    <col min="38" max="38" width="9.28515625" style="5" bestFit="1" customWidth="1"/>
    <col min="39" max="40" width="9.140625" style="5"/>
    <col min="41" max="41" width="10.28515625" style="5" bestFit="1" customWidth="1"/>
    <col min="42" max="44" width="9.140625" style="5"/>
    <col min="45" max="45" width="9.28515625" style="5" bestFit="1" customWidth="1"/>
    <col min="46" max="46" width="9.140625" style="5"/>
    <col min="47" max="47" width="9.28515625" style="5" bestFit="1" customWidth="1"/>
    <col min="48" max="48" width="9.140625" style="5"/>
    <col min="49" max="49" width="22.42578125" style="5" customWidth="1"/>
    <col min="50" max="50" width="14.28515625" style="5" customWidth="1"/>
    <col min="51" max="51" width="26.42578125" style="5" customWidth="1"/>
    <col min="52" max="52" width="28.42578125" style="5" customWidth="1"/>
    <col min="53" max="53" width="30.28515625" style="5" customWidth="1"/>
    <col min="54" max="54" width="25.7109375" style="5" customWidth="1"/>
    <col min="55" max="55" width="25.42578125" style="5" customWidth="1"/>
    <col min="56" max="56" width="25.5703125" style="5" customWidth="1"/>
    <col min="57" max="57" width="15.28515625" style="5" customWidth="1"/>
    <col min="58" max="58" width="190.7109375" style="5" customWidth="1"/>
    <col min="59" max="16384" width="9.140625" style="5"/>
  </cols>
  <sheetData>
    <row r="1" spans="1:58" ht="18.7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8" t="s">
        <v>32</v>
      </c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8" ht="15.75" x14ac:dyDescent="0.25">
      <c r="A2" s="7" t="s">
        <v>8</v>
      </c>
      <c r="B2" s="6"/>
      <c r="C2" s="6"/>
      <c r="D2" s="6"/>
      <c r="E2" s="6"/>
      <c r="F2" s="6"/>
      <c r="N2" s="6"/>
      <c r="O2" s="31" t="s">
        <v>27</v>
      </c>
      <c r="P2" s="31" t="s">
        <v>28</v>
      </c>
      <c r="Q2" s="32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</row>
    <row r="3" spans="1:58" ht="15.75" x14ac:dyDescent="0.25">
      <c r="A3" s="7" t="s">
        <v>14</v>
      </c>
      <c r="B3" s="9"/>
      <c r="C3" s="9" t="s">
        <v>15</v>
      </c>
      <c r="D3" s="9"/>
      <c r="E3" s="9"/>
      <c r="F3" s="6"/>
      <c r="N3" s="6"/>
      <c r="O3" s="33">
        <v>0</v>
      </c>
      <c r="P3" s="33">
        <v>42</v>
      </c>
      <c r="Q3" s="32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</row>
    <row r="4" spans="1:58" ht="15.75" x14ac:dyDescent="0.25">
      <c r="A4" s="7" t="s">
        <v>11</v>
      </c>
      <c r="B4" s="9"/>
      <c r="C4" s="9" t="s">
        <v>12</v>
      </c>
      <c r="D4" s="9"/>
      <c r="E4" s="9"/>
      <c r="F4" s="6"/>
      <c r="N4" s="6"/>
      <c r="O4" s="33">
        <v>150</v>
      </c>
      <c r="P4" s="33">
        <v>42</v>
      </c>
      <c r="Q4" s="32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1" t="s">
        <v>102</v>
      </c>
    </row>
    <row r="5" spans="1:58" ht="16.5" x14ac:dyDescent="0.25">
      <c r="A5" s="7" t="s">
        <v>9</v>
      </c>
      <c r="B5" s="9"/>
      <c r="C5" s="9" t="s">
        <v>10</v>
      </c>
      <c r="D5" s="9"/>
      <c r="E5" s="9"/>
      <c r="F5" s="6"/>
      <c r="N5" s="6"/>
      <c r="O5" s="33">
        <v>165</v>
      </c>
      <c r="P5" s="33">
        <v>52</v>
      </c>
      <c r="Q5" s="32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0" t="s">
        <v>99</v>
      </c>
    </row>
    <row r="6" spans="1:58" ht="17.25" x14ac:dyDescent="0.25">
      <c r="A6" s="7" t="s">
        <v>13</v>
      </c>
      <c r="B6" s="9"/>
      <c r="C6" s="11">
        <v>23</v>
      </c>
      <c r="D6" s="9"/>
      <c r="E6" s="9"/>
      <c r="F6" s="6"/>
      <c r="N6" s="6"/>
      <c r="O6" s="33">
        <v>190</v>
      </c>
      <c r="P6" s="33">
        <v>45</v>
      </c>
      <c r="Q6" s="32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0" t="s">
        <v>100</v>
      </c>
    </row>
    <row r="7" spans="1:58" ht="15.75" x14ac:dyDescent="0.25">
      <c r="A7" s="7" t="s">
        <v>1</v>
      </c>
      <c r="B7" s="9"/>
      <c r="C7" s="11">
        <v>52</v>
      </c>
      <c r="D7" s="11" t="s">
        <v>3</v>
      </c>
      <c r="E7" s="9"/>
      <c r="F7" s="6"/>
      <c r="N7" s="6"/>
      <c r="O7" s="33">
        <v>195</v>
      </c>
      <c r="P7" s="33">
        <v>45</v>
      </c>
      <c r="Q7" s="32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5" t="s">
        <v>101</v>
      </c>
    </row>
    <row r="8" spans="1:58" ht="15.75" x14ac:dyDescent="0.25">
      <c r="A8" s="7" t="s">
        <v>2</v>
      </c>
      <c r="B8" s="9"/>
      <c r="C8" s="11">
        <f>C7/1.341</f>
        <v>38.77703206562267</v>
      </c>
      <c r="D8" s="9"/>
      <c r="E8" s="9"/>
      <c r="F8" s="6"/>
      <c r="N8" s="6"/>
      <c r="O8" s="33">
        <v>370</v>
      </c>
      <c r="P8" s="33">
        <v>45</v>
      </c>
      <c r="Q8" s="32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</row>
    <row r="9" spans="1:58" ht="15.75" x14ac:dyDescent="0.25">
      <c r="A9" s="7" t="s">
        <v>4</v>
      </c>
      <c r="B9" s="9"/>
      <c r="C9" s="11">
        <v>76</v>
      </c>
      <c r="D9" s="9" t="s">
        <v>5</v>
      </c>
      <c r="E9" s="9"/>
      <c r="F9" s="6"/>
      <c r="N9" s="6"/>
      <c r="O9" s="33">
        <v>376</v>
      </c>
      <c r="P9" s="33">
        <v>50</v>
      </c>
      <c r="Q9" s="32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</row>
    <row r="10" spans="1:58" ht="15.75" x14ac:dyDescent="0.25">
      <c r="A10" s="7" t="s">
        <v>6</v>
      </c>
      <c r="B10" s="9"/>
      <c r="C10" s="11">
        <v>65</v>
      </c>
      <c r="D10" s="9"/>
      <c r="E10" s="9"/>
      <c r="F10" s="6"/>
      <c r="N10" s="6"/>
      <c r="O10" s="33">
        <v>386</v>
      </c>
      <c r="P10" s="33">
        <v>42</v>
      </c>
      <c r="Q10" s="32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</row>
    <row r="11" spans="1:58" ht="15.75" x14ac:dyDescent="0.25">
      <c r="A11" s="7" t="s">
        <v>7</v>
      </c>
      <c r="B11" s="9"/>
      <c r="C11" s="11">
        <f>C10/2.237</f>
        <v>29.05677246312025</v>
      </c>
      <c r="D11" s="9"/>
      <c r="E11" s="9"/>
      <c r="F11" s="6"/>
      <c r="N11" s="6"/>
      <c r="O11" s="33">
        <v>566</v>
      </c>
      <c r="P11" s="33">
        <v>42</v>
      </c>
      <c r="Q11" s="32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</row>
    <row r="12" spans="1:58" ht="15.75" x14ac:dyDescent="0.25">
      <c r="A12" s="7" t="s">
        <v>16</v>
      </c>
      <c r="B12" s="9"/>
      <c r="C12" s="9" t="s">
        <v>26</v>
      </c>
      <c r="D12" s="9"/>
      <c r="E12" s="9"/>
      <c r="F12" s="6"/>
      <c r="N12" s="6"/>
      <c r="O12" s="33">
        <v>572</v>
      </c>
      <c r="P12" s="33">
        <v>47</v>
      </c>
      <c r="Q12" s="32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</row>
    <row r="13" spans="1:58" ht="15.75" x14ac:dyDescent="0.25">
      <c r="A13" s="7" t="s">
        <v>17</v>
      </c>
      <c r="B13" s="9"/>
      <c r="C13" s="9" t="s">
        <v>18</v>
      </c>
      <c r="D13" s="9"/>
      <c r="E13" s="9"/>
      <c r="F13" s="6"/>
      <c r="N13" s="6"/>
      <c r="O13" s="33">
        <v>578</v>
      </c>
      <c r="P13" s="33">
        <v>47</v>
      </c>
      <c r="Q13" s="32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</row>
    <row r="14" spans="1:58" ht="15.75" x14ac:dyDescent="0.25">
      <c r="A14" s="7" t="s">
        <v>19</v>
      </c>
      <c r="B14" s="6"/>
      <c r="C14" s="6"/>
      <c r="D14" s="6"/>
      <c r="E14" s="6"/>
      <c r="F14" s="6"/>
      <c r="N14" s="6"/>
      <c r="O14" s="33">
        <v>703</v>
      </c>
      <c r="P14" s="33">
        <v>42</v>
      </c>
      <c r="Q14" s="32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</row>
    <row r="15" spans="1:58" ht="15.75" x14ac:dyDescent="0.25">
      <c r="A15" s="7" t="s">
        <v>21</v>
      </c>
      <c r="B15" s="6"/>
      <c r="C15" s="10">
        <v>495</v>
      </c>
      <c r="D15" s="6"/>
      <c r="E15" s="6"/>
      <c r="F15" s="6"/>
      <c r="N15" s="6"/>
      <c r="O15" s="34" t="s">
        <v>29</v>
      </c>
      <c r="P15" s="32"/>
      <c r="Q15" s="32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</row>
    <row r="16" spans="1:58" ht="15.75" x14ac:dyDescent="0.25">
      <c r="A16" s="7" t="s">
        <v>22</v>
      </c>
      <c r="B16" s="6"/>
      <c r="C16" s="10">
        <v>2950</v>
      </c>
      <c r="D16" s="6"/>
      <c r="E16" s="6"/>
      <c r="F16" s="6"/>
      <c r="N16" s="6"/>
      <c r="O16" s="32" t="s">
        <v>57</v>
      </c>
      <c r="P16" s="32"/>
      <c r="Q16" s="32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</row>
    <row r="17" spans="1:58" ht="15.75" x14ac:dyDescent="0.25">
      <c r="A17" s="7" t="s">
        <v>23</v>
      </c>
      <c r="B17" s="6"/>
      <c r="C17" s="10">
        <v>1660</v>
      </c>
      <c r="D17" s="6"/>
      <c r="E17" s="6"/>
      <c r="F17" s="6"/>
      <c r="N17" s="6"/>
      <c r="O17" s="34" t="s">
        <v>30</v>
      </c>
      <c r="P17" s="32"/>
      <c r="Q17" s="32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</row>
    <row r="18" spans="1:58" ht="15.75" x14ac:dyDescent="0.25">
      <c r="A18" s="7" t="s">
        <v>24</v>
      </c>
      <c r="B18" s="6"/>
      <c r="C18" s="10">
        <v>1430</v>
      </c>
      <c r="D18" s="6"/>
      <c r="E18" s="6"/>
      <c r="F18" s="6"/>
      <c r="N18" s="6"/>
      <c r="O18" s="32" t="s">
        <v>56</v>
      </c>
      <c r="P18" s="32"/>
      <c r="Q18" s="32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</row>
    <row r="19" spans="1:58" ht="15.75" x14ac:dyDescent="0.25">
      <c r="A19" s="7" t="s">
        <v>20</v>
      </c>
      <c r="B19" s="6"/>
      <c r="C19" s="10">
        <v>280</v>
      </c>
      <c r="D19" s="6"/>
      <c r="E19" s="6"/>
      <c r="F19" s="6"/>
      <c r="N19" s="6"/>
      <c r="O19" s="34" t="s">
        <v>31</v>
      </c>
      <c r="P19" s="32"/>
      <c r="Q19" s="32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</row>
    <row r="20" spans="1:58" ht="15.75" x14ac:dyDescent="0.25">
      <c r="A20" s="7" t="s">
        <v>25</v>
      </c>
      <c r="B20" s="6"/>
      <c r="C20" s="10">
        <v>2050</v>
      </c>
      <c r="D20" s="6"/>
      <c r="E20" s="6"/>
      <c r="F20" s="6"/>
      <c r="N20" s="6"/>
      <c r="O20" s="32" t="s">
        <v>84</v>
      </c>
      <c r="P20" s="32"/>
      <c r="Q20" s="32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</row>
    <row r="21" spans="1:58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</row>
    <row r="22" spans="1:58" ht="18.75" x14ac:dyDescent="0.3">
      <c r="A22" s="12" t="s">
        <v>33</v>
      </c>
      <c r="B22" s="6"/>
      <c r="C22" s="6"/>
      <c r="D22" s="13">
        <v>0.38</v>
      </c>
      <c r="E22" s="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</row>
    <row r="23" spans="1:58" ht="18.75" x14ac:dyDescent="0.3">
      <c r="A23" s="12" t="s">
        <v>85</v>
      </c>
      <c r="B23" s="6"/>
      <c r="C23" s="6"/>
      <c r="D23" s="13">
        <v>1.66</v>
      </c>
      <c r="E23" s="4"/>
      <c r="F23" s="14" t="s">
        <v>82</v>
      </c>
      <c r="G23" s="14"/>
      <c r="H23" s="15" t="s">
        <v>81</v>
      </c>
      <c r="I23" s="15"/>
      <c r="J23" s="14" t="s">
        <v>80</v>
      </c>
      <c r="K23" s="14"/>
      <c r="L23" s="15" t="s">
        <v>79</v>
      </c>
      <c r="M23" s="15"/>
      <c r="N23" s="8" t="s">
        <v>78</v>
      </c>
      <c r="O23" s="16" t="s">
        <v>77</v>
      </c>
      <c r="P23" s="16"/>
      <c r="Q23" s="8" t="s">
        <v>65</v>
      </c>
      <c r="R23" s="16" t="s">
        <v>76</v>
      </c>
      <c r="S23" s="8" t="s">
        <v>66</v>
      </c>
      <c r="T23" s="16" t="s">
        <v>67</v>
      </c>
      <c r="U23" s="16"/>
      <c r="V23" s="16"/>
      <c r="W23" s="8" t="s">
        <v>68</v>
      </c>
      <c r="X23" s="8"/>
      <c r="Y23" s="16" t="s">
        <v>69</v>
      </c>
      <c r="Z23" s="16"/>
      <c r="AA23" s="16"/>
      <c r="AB23" s="14" t="s">
        <v>70</v>
      </c>
      <c r="AC23" s="6"/>
      <c r="AD23" s="6"/>
      <c r="AE23" s="3" t="s">
        <v>83</v>
      </c>
      <c r="AF23" s="4"/>
      <c r="AG23" s="4"/>
      <c r="AH23" s="7" t="s">
        <v>71</v>
      </c>
      <c r="AI23" s="6"/>
      <c r="AJ23" s="6"/>
      <c r="AK23" s="6"/>
      <c r="AL23" s="3" t="s">
        <v>72</v>
      </c>
      <c r="AM23" s="4"/>
      <c r="AN23" s="4"/>
      <c r="AO23" s="7" t="s">
        <v>73</v>
      </c>
      <c r="AP23" s="6"/>
      <c r="AQ23" s="6"/>
      <c r="AR23" s="6"/>
      <c r="AS23" s="3" t="s">
        <v>74</v>
      </c>
      <c r="AT23" s="4"/>
      <c r="AU23" s="7" t="s">
        <v>75</v>
      </c>
      <c r="AV23" s="6"/>
      <c r="AW23" s="3" t="s">
        <v>87</v>
      </c>
      <c r="AX23" s="8" t="s">
        <v>88</v>
      </c>
      <c r="AY23" s="3" t="s">
        <v>89</v>
      </c>
      <c r="AZ23" s="7" t="s">
        <v>93</v>
      </c>
      <c r="BA23" s="3" t="s">
        <v>94</v>
      </c>
      <c r="BB23" s="8" t="s">
        <v>96</v>
      </c>
      <c r="BC23" s="16" t="s">
        <v>97</v>
      </c>
      <c r="BD23" s="8" t="s">
        <v>98</v>
      </c>
      <c r="BE23" s="16" t="s">
        <v>95</v>
      </c>
      <c r="BF23" s="36"/>
    </row>
    <row r="24" spans="1:58" ht="18.75" x14ac:dyDescent="0.3">
      <c r="A24" s="12" t="s">
        <v>37</v>
      </c>
      <c r="B24" s="6"/>
      <c r="C24" s="6"/>
      <c r="D24" s="6"/>
      <c r="E24" s="4"/>
      <c r="F24" s="14" t="s">
        <v>53</v>
      </c>
      <c r="G24" s="14"/>
      <c r="H24" s="17">
        <v>0</v>
      </c>
      <c r="I24" s="17">
        <f>H24</f>
        <v>0</v>
      </c>
      <c r="J24" s="18" t="s">
        <v>50</v>
      </c>
      <c r="K24" s="18"/>
      <c r="L24" s="17">
        <v>0.02</v>
      </c>
      <c r="M24" s="19"/>
      <c r="N24" s="10">
        <v>0</v>
      </c>
      <c r="O24" s="19">
        <v>0</v>
      </c>
      <c r="P24" s="19"/>
      <c r="Q24" s="10">
        <v>0</v>
      </c>
      <c r="R24" s="19">
        <v>0</v>
      </c>
      <c r="S24" s="10">
        <v>0</v>
      </c>
      <c r="T24" s="19">
        <f>$D$28*L24*$D$29</f>
        <v>112.81500000000001</v>
      </c>
      <c r="U24" s="19"/>
      <c r="V24" s="19"/>
      <c r="W24" s="10">
        <f>0.5*$D$22*$D$23*$D$30*(Q24*Q24)</f>
        <v>0</v>
      </c>
      <c r="X24" s="10"/>
      <c r="Y24" s="19">
        <f>$D$28*$D$29*-SIN(S24)</f>
        <v>0</v>
      </c>
      <c r="Z24" s="19"/>
      <c r="AA24" s="19"/>
      <c r="AB24" s="10">
        <f>Y24+W24+T24</f>
        <v>112.81500000000001</v>
      </c>
      <c r="AC24" s="10"/>
      <c r="AD24" s="10"/>
      <c r="AE24" s="17">
        <f>AB24*Q24</f>
        <v>0</v>
      </c>
      <c r="AF24" s="19"/>
      <c r="AG24" s="19"/>
      <c r="AH24" s="10">
        <f>38777-AE24</f>
        <v>38777</v>
      </c>
      <c r="AI24" s="10"/>
      <c r="AJ24" s="10"/>
      <c r="AK24" s="10"/>
      <c r="AL24" s="19">
        <v>0</v>
      </c>
      <c r="AM24" s="19"/>
      <c r="AN24" s="19"/>
      <c r="AO24" s="10">
        <v>0</v>
      </c>
      <c r="AP24" s="10"/>
      <c r="AQ24" s="10"/>
      <c r="AR24" s="10"/>
      <c r="AS24" s="19">
        <v>38777</v>
      </c>
      <c r="AT24" s="4"/>
      <c r="AU24" s="10">
        <v>29.056799999999999</v>
      </c>
      <c r="AV24" s="6"/>
      <c r="AW24" s="19">
        <v>0</v>
      </c>
      <c r="AX24" s="10">
        <v>0</v>
      </c>
      <c r="AY24" s="19">
        <v>0</v>
      </c>
      <c r="AZ24" s="10">
        <v>0</v>
      </c>
      <c r="BA24" s="19">
        <v>0</v>
      </c>
      <c r="BB24" s="37">
        <v>0</v>
      </c>
      <c r="BC24" s="19">
        <v>0</v>
      </c>
      <c r="BD24" s="10">
        <v>0</v>
      </c>
      <c r="BE24" s="19">
        <v>0</v>
      </c>
      <c r="BF24" s="36"/>
    </row>
    <row r="25" spans="1:58" ht="15.75" x14ac:dyDescent="0.25">
      <c r="A25" s="7" t="s">
        <v>35</v>
      </c>
      <c r="B25" s="6"/>
      <c r="C25" s="6"/>
      <c r="D25" s="6">
        <v>0.02</v>
      </c>
      <c r="E25" s="4"/>
      <c r="F25" s="7" t="s">
        <v>39</v>
      </c>
      <c r="G25" s="6"/>
      <c r="H25" s="19">
        <v>150</v>
      </c>
      <c r="I25" s="17">
        <f t="shared" ref="I25:I40" si="0">H25+I24</f>
        <v>150</v>
      </c>
      <c r="J25" s="10" t="s">
        <v>50</v>
      </c>
      <c r="K25" s="10"/>
      <c r="L25" s="19">
        <v>0.02</v>
      </c>
      <c r="M25" s="19"/>
      <c r="N25" s="10">
        <f>H25/Q25</f>
        <v>5.3571428571428568</v>
      </c>
      <c r="O25" s="19">
        <f>N25+O24</f>
        <v>5.3571428571428568</v>
      </c>
      <c r="P25" s="19"/>
      <c r="Q25" s="10">
        <v>28</v>
      </c>
      <c r="R25" s="19">
        <v>0</v>
      </c>
      <c r="S25" s="10">
        <f>DEGREES(ASIN(R25/H25))</f>
        <v>0</v>
      </c>
      <c r="T25" s="19">
        <f t="shared" ref="T25:T34" si="1">$D$28*L25*$D$29</f>
        <v>112.81500000000001</v>
      </c>
      <c r="U25" s="19"/>
      <c r="V25" s="19"/>
      <c r="W25" s="10">
        <f>0.5*$D$22*$D$23*$D$30*(Q25*Q25)</f>
        <v>296.72832</v>
      </c>
      <c r="X25" s="10"/>
      <c r="Y25" s="19">
        <f t="shared" ref="Y25:Y29" si="2">$D$28*$D$29*-SIN(S25)</f>
        <v>0</v>
      </c>
      <c r="Z25" s="19"/>
      <c r="AA25" s="19"/>
      <c r="AB25" s="10">
        <f t="shared" ref="AB25:AB29" si="3">Y25+W25+T25</f>
        <v>409.54331999999999</v>
      </c>
      <c r="AC25" s="10"/>
      <c r="AD25" s="10"/>
      <c r="AE25" s="17">
        <f t="shared" ref="AE25:AE29" si="4">AB25*Q25</f>
        <v>11467.212960000001</v>
      </c>
      <c r="AF25" s="19"/>
      <c r="AG25" s="19"/>
      <c r="AH25" s="10">
        <f t="shared" ref="AH25:AH29" si="5">38777-AE25</f>
        <v>27309.787039999999</v>
      </c>
      <c r="AI25" s="10"/>
      <c r="AJ25" s="10"/>
      <c r="AK25" s="10"/>
      <c r="AL25" s="19">
        <f>(Q25-Q24)/N25</f>
        <v>5.2266666666666675</v>
      </c>
      <c r="AM25" s="19"/>
      <c r="AN25" s="19"/>
      <c r="AO25" s="18">
        <f>AE25/N25</f>
        <v>2140.5464192000004</v>
      </c>
      <c r="AP25" s="10"/>
      <c r="AQ25" s="10"/>
      <c r="AR25" s="10"/>
      <c r="AS25" s="19">
        <v>38777</v>
      </c>
      <c r="AT25" s="4"/>
      <c r="AU25" s="10">
        <v>29.056799999999999</v>
      </c>
      <c r="AV25" s="6"/>
      <c r="AW25" s="19">
        <v>5000</v>
      </c>
      <c r="AX25" s="10">
        <f>AW25*2</f>
        <v>10000</v>
      </c>
      <c r="AY25" s="19">
        <f>AX25*$D$35</f>
        <v>2.7066666666666666</v>
      </c>
      <c r="AZ25" s="10">
        <f>AY25*$D$36</f>
        <v>3.315666666666667</v>
      </c>
      <c r="BA25" s="19">
        <f>AZ25/$D$33</f>
        <v>0.28831884057971019</v>
      </c>
      <c r="BB25" s="39">
        <f>BA25/60</f>
        <v>4.8053140096618362E-3</v>
      </c>
      <c r="BC25" s="19">
        <f>BB25*1000</f>
        <v>4.8053140096618359</v>
      </c>
      <c r="BD25" s="10">
        <f>BC25*3600</f>
        <v>17299.130434782608</v>
      </c>
      <c r="BE25" s="19">
        <f>BD25/$C$8</f>
        <v>446.1179598662207</v>
      </c>
      <c r="BF25" s="36"/>
    </row>
    <row r="26" spans="1:58" ht="15.75" x14ac:dyDescent="0.25">
      <c r="A26" s="7" t="s">
        <v>36</v>
      </c>
      <c r="B26" s="6"/>
      <c r="C26" s="6"/>
      <c r="D26" s="6">
        <v>0.2</v>
      </c>
      <c r="E26" s="4"/>
      <c r="F26" s="7" t="s">
        <v>40</v>
      </c>
      <c r="G26" s="6"/>
      <c r="H26" s="19">
        <v>15</v>
      </c>
      <c r="I26" s="17">
        <f t="shared" si="0"/>
        <v>165</v>
      </c>
      <c r="J26" s="10" t="s">
        <v>50</v>
      </c>
      <c r="K26" s="10"/>
      <c r="L26" s="19">
        <v>0.02</v>
      </c>
      <c r="M26" s="19"/>
      <c r="N26" s="10">
        <f t="shared" ref="N26:N31" si="6">H26/Q26</f>
        <v>3.3557046979865772</v>
      </c>
      <c r="O26" s="19">
        <f t="shared" ref="O26:O40" si="7">N26+O25</f>
        <v>8.712847555129434</v>
      </c>
      <c r="P26" s="19"/>
      <c r="Q26" s="10">
        <v>4.47</v>
      </c>
      <c r="R26" s="19">
        <v>10</v>
      </c>
      <c r="S26" s="10">
        <f>DEGREES(ASIN(R26/H26))</f>
        <v>41.810314895778596</v>
      </c>
      <c r="T26" s="19">
        <f t="shared" si="1"/>
        <v>112.81500000000001</v>
      </c>
      <c r="U26" s="19"/>
      <c r="V26" s="19"/>
      <c r="W26" s="10">
        <f>0.5*$D$22*$D$23*$D$30*(Q26*Q26)</f>
        <v>7.5623710319999988</v>
      </c>
      <c r="X26" s="10"/>
      <c r="Y26" s="19">
        <f>$D$28*$D$29*-SIN(S26)</f>
        <v>4651.7314088631156</v>
      </c>
      <c r="Z26" s="19"/>
      <c r="AA26" s="19"/>
      <c r="AB26" s="10">
        <f>Y26+W26+T26</f>
        <v>4772.1087798951148</v>
      </c>
      <c r="AC26" s="10"/>
      <c r="AD26" s="10"/>
      <c r="AE26" s="17">
        <f t="shared" si="4"/>
        <v>21331.326246131161</v>
      </c>
      <c r="AF26" s="19"/>
      <c r="AG26" s="19"/>
      <c r="AH26" s="10">
        <f t="shared" si="5"/>
        <v>17445.673753868839</v>
      </c>
      <c r="AI26" s="10"/>
      <c r="AJ26" s="10"/>
      <c r="AK26" s="10"/>
      <c r="AL26" s="19">
        <f>(Q26-Q25)/N26</f>
        <v>-7.0119400000000001</v>
      </c>
      <c r="AM26" s="19"/>
      <c r="AN26" s="19"/>
      <c r="AO26" s="10">
        <f t="shared" ref="AO26:AO40" si="8">AE26/N26</f>
        <v>6356.7352213470858</v>
      </c>
      <c r="AP26" s="10"/>
      <c r="AQ26" s="10"/>
      <c r="AR26" s="10"/>
      <c r="AS26" s="19">
        <v>38777</v>
      </c>
      <c r="AT26" s="4"/>
      <c r="AU26" s="10">
        <v>29.056799999999999</v>
      </c>
      <c r="AV26" s="6"/>
      <c r="AW26" s="19">
        <v>5500</v>
      </c>
      <c r="AX26" s="10">
        <f t="shared" ref="AX26:AX40" si="9">AW26*2</f>
        <v>11000</v>
      </c>
      <c r="AY26" s="19">
        <f t="shared" ref="AY26:AY40" si="10">AX26*$D$35</f>
        <v>2.9773333333333332</v>
      </c>
      <c r="AZ26" s="10">
        <f t="shared" ref="AZ26:AZ40" si="11">AY26*$D$36</f>
        <v>3.6472333333333333</v>
      </c>
      <c r="BA26" s="19">
        <f t="shared" ref="BA26:BA40" si="12">AZ26/$D$33</f>
        <v>0.31715072463768118</v>
      </c>
      <c r="BB26" s="39">
        <f t="shared" ref="BB26:BB40" si="13">BA26/60</f>
        <v>5.2858454106280194E-3</v>
      </c>
      <c r="BC26" s="19">
        <f t="shared" ref="BC26:BC40" si="14">BB26*1000</f>
        <v>5.2858454106280197</v>
      </c>
      <c r="BD26" s="10">
        <f t="shared" ref="BD26:BD40" si="15">BC26*3600</f>
        <v>19029.043478260872</v>
      </c>
      <c r="BE26" s="19">
        <f t="shared" ref="BE26:BE40" si="16">BD26/$C$8</f>
        <v>490.72975585284286</v>
      </c>
      <c r="BF26" s="36"/>
    </row>
    <row r="27" spans="1:58" ht="15.75" x14ac:dyDescent="0.25">
      <c r="A27" s="7" t="s">
        <v>34</v>
      </c>
      <c r="B27" s="6"/>
      <c r="C27" s="6"/>
      <c r="D27" s="6">
        <v>0.08</v>
      </c>
      <c r="E27" s="4"/>
      <c r="F27" s="7" t="s">
        <v>41</v>
      </c>
      <c r="G27" s="6"/>
      <c r="H27" s="19">
        <v>30</v>
      </c>
      <c r="I27" s="17">
        <f t="shared" si="0"/>
        <v>195</v>
      </c>
      <c r="J27" s="10" t="s">
        <v>51</v>
      </c>
      <c r="K27" s="10"/>
      <c r="L27" s="19">
        <v>0.2</v>
      </c>
      <c r="M27" s="19"/>
      <c r="N27" s="10">
        <f t="shared" si="6"/>
        <v>1.875</v>
      </c>
      <c r="O27" s="19">
        <f t="shared" si="7"/>
        <v>10.587847555129434</v>
      </c>
      <c r="P27" s="19"/>
      <c r="Q27" s="10">
        <v>16</v>
      </c>
      <c r="R27" s="20">
        <v>-7</v>
      </c>
      <c r="S27" s="21">
        <f>DEGREES(ASIN(R27/H27))</f>
        <v>-13.493398821551692</v>
      </c>
      <c r="T27" s="19">
        <f>$D$28*L27*$D$29</f>
        <v>1128.1500000000001</v>
      </c>
      <c r="U27" s="19"/>
      <c r="V27" s="19"/>
      <c r="W27" s="10">
        <f t="shared" ref="W27:W28" si="17">0.5*$D$22*$D$23*$D$30*(Q27*Q27)</f>
        <v>96.890879999999996</v>
      </c>
      <c r="X27" s="10"/>
      <c r="Y27" s="20">
        <f>$D$28*$D$29*SIN(S27)</f>
        <v>-4511.6961544155074</v>
      </c>
      <c r="Z27" s="19"/>
      <c r="AA27" s="19"/>
      <c r="AB27" s="21">
        <f t="shared" si="3"/>
        <v>-3286.6552744155074</v>
      </c>
      <c r="AC27" s="22"/>
      <c r="AD27" s="22"/>
      <c r="AE27" s="20">
        <f t="shared" si="4"/>
        <v>-52586.484390648118</v>
      </c>
      <c r="AF27" s="19"/>
      <c r="AG27" s="19"/>
      <c r="AH27" s="21">
        <f t="shared" si="5"/>
        <v>91363.484390648111</v>
      </c>
      <c r="AI27" s="10"/>
      <c r="AJ27" s="10"/>
      <c r="AK27" s="10"/>
      <c r="AL27" s="19">
        <f>(Q27-Q26)/N27</f>
        <v>6.1493333333333338</v>
      </c>
      <c r="AM27" s="19"/>
      <c r="AN27" s="19"/>
      <c r="AO27" s="21">
        <f t="shared" si="8"/>
        <v>-28046.125008345662</v>
      </c>
      <c r="AP27" s="10"/>
      <c r="AQ27" s="10"/>
      <c r="AR27" s="10"/>
      <c r="AS27" s="19">
        <v>38777</v>
      </c>
      <c r="AT27" s="4"/>
      <c r="AU27" s="10">
        <v>29.056799999999999</v>
      </c>
      <c r="AV27" s="6"/>
      <c r="AW27" s="19">
        <v>6000</v>
      </c>
      <c r="AX27" s="10">
        <f t="shared" si="9"/>
        <v>12000</v>
      </c>
      <c r="AY27" s="19">
        <f t="shared" si="10"/>
        <v>3.2480000000000002</v>
      </c>
      <c r="AZ27" s="10">
        <f t="shared" si="11"/>
        <v>3.9788000000000006</v>
      </c>
      <c r="BA27" s="19">
        <f t="shared" si="12"/>
        <v>0.34598260869565223</v>
      </c>
      <c r="BB27" s="39">
        <f t="shared" si="13"/>
        <v>5.7663768115942034E-3</v>
      </c>
      <c r="BC27" s="19">
        <f t="shared" si="14"/>
        <v>5.7663768115942036</v>
      </c>
      <c r="BD27" s="10">
        <f t="shared" si="15"/>
        <v>20758.956521739132</v>
      </c>
      <c r="BE27" s="19">
        <f t="shared" si="16"/>
        <v>535.34155183946496</v>
      </c>
      <c r="BF27" s="36"/>
    </row>
    <row r="28" spans="1:58" ht="15.75" x14ac:dyDescent="0.25">
      <c r="A28" s="7" t="s">
        <v>38</v>
      </c>
      <c r="B28" s="6"/>
      <c r="C28" s="6"/>
      <c r="D28" s="6">
        <v>575</v>
      </c>
      <c r="E28" s="4"/>
      <c r="F28" s="7" t="s">
        <v>42</v>
      </c>
      <c r="G28" s="6"/>
      <c r="H28" s="19">
        <v>5</v>
      </c>
      <c r="I28" s="17">
        <f t="shared" si="0"/>
        <v>200</v>
      </c>
      <c r="J28" s="10" t="s">
        <v>52</v>
      </c>
      <c r="K28" s="10"/>
      <c r="L28" s="19">
        <v>0.08</v>
      </c>
      <c r="M28" s="19"/>
      <c r="N28" s="10">
        <f t="shared" si="6"/>
        <v>0.27777777777777779</v>
      </c>
      <c r="O28" s="19">
        <f t="shared" si="7"/>
        <v>10.865625332907213</v>
      </c>
      <c r="P28" s="19"/>
      <c r="Q28" s="10">
        <v>18</v>
      </c>
      <c r="R28" s="19">
        <v>0</v>
      </c>
      <c r="S28" s="10">
        <f t="shared" ref="S28:S31" si="18">DEGREES(ASIN(R28/H28))</f>
        <v>0</v>
      </c>
      <c r="T28" s="19">
        <f t="shared" si="1"/>
        <v>451.26000000000005</v>
      </c>
      <c r="U28" s="19"/>
      <c r="V28" s="19"/>
      <c r="W28" s="10">
        <f t="shared" si="17"/>
        <v>122.62751999999999</v>
      </c>
      <c r="X28" s="10"/>
      <c r="Y28" s="19">
        <f>$D$28*$D$29*-SIN(S28)</f>
        <v>0</v>
      </c>
      <c r="Z28" s="19"/>
      <c r="AA28" s="19"/>
      <c r="AB28" s="10">
        <f t="shared" si="3"/>
        <v>573.88751999999999</v>
      </c>
      <c r="AC28" s="10"/>
      <c r="AD28" s="10"/>
      <c r="AE28" s="17">
        <f t="shared" si="4"/>
        <v>10329.97536</v>
      </c>
      <c r="AF28" s="19"/>
      <c r="AG28" s="19"/>
      <c r="AH28" s="10">
        <f t="shared" si="5"/>
        <v>28447.02464</v>
      </c>
      <c r="AI28" s="10"/>
      <c r="AJ28" s="10"/>
      <c r="AK28" s="10"/>
      <c r="AL28" s="19">
        <f t="shared" ref="AL28:AL40" si="19">(Q28-Q27)/N28</f>
        <v>7.1999999999999993</v>
      </c>
      <c r="AM28" s="19"/>
      <c r="AN28" s="19"/>
      <c r="AO28" s="10">
        <f t="shared" si="8"/>
        <v>37187.911295999998</v>
      </c>
      <c r="AP28" s="10"/>
      <c r="AQ28" s="10"/>
      <c r="AR28" s="10"/>
      <c r="AS28" s="19">
        <v>38777</v>
      </c>
      <c r="AT28" s="4"/>
      <c r="AU28" s="10">
        <v>29.056799999999999</v>
      </c>
      <c r="AV28" s="6"/>
      <c r="AW28" s="19">
        <v>6000</v>
      </c>
      <c r="AX28" s="10">
        <f t="shared" si="9"/>
        <v>12000</v>
      </c>
      <c r="AY28" s="19">
        <f t="shared" si="10"/>
        <v>3.2480000000000002</v>
      </c>
      <c r="AZ28" s="10">
        <f t="shared" si="11"/>
        <v>3.9788000000000006</v>
      </c>
      <c r="BA28" s="19">
        <f t="shared" si="12"/>
        <v>0.34598260869565223</v>
      </c>
      <c r="BB28" s="39">
        <f t="shared" si="13"/>
        <v>5.7663768115942034E-3</v>
      </c>
      <c r="BC28" s="19">
        <f t="shared" si="14"/>
        <v>5.7663768115942036</v>
      </c>
      <c r="BD28" s="10">
        <f t="shared" si="15"/>
        <v>20758.956521739132</v>
      </c>
      <c r="BE28" s="19">
        <f>BD28/$C$8</f>
        <v>535.34155183946496</v>
      </c>
      <c r="BF28" s="36"/>
    </row>
    <row r="29" spans="1:58" ht="15.75" x14ac:dyDescent="0.25">
      <c r="A29" s="7" t="s">
        <v>54</v>
      </c>
      <c r="B29" s="6"/>
      <c r="C29" s="6"/>
      <c r="D29" s="6">
        <v>9.81</v>
      </c>
      <c r="E29" s="4"/>
      <c r="F29" s="7" t="s">
        <v>43</v>
      </c>
      <c r="G29" s="6"/>
      <c r="H29" s="19">
        <v>100</v>
      </c>
      <c r="I29" s="17">
        <f t="shared" si="0"/>
        <v>300</v>
      </c>
      <c r="J29" s="10" t="s">
        <v>51</v>
      </c>
      <c r="K29" s="10"/>
      <c r="L29" s="19">
        <v>0.2</v>
      </c>
      <c r="M29" s="19"/>
      <c r="N29" s="10">
        <f t="shared" si="6"/>
        <v>3.8461538461538463</v>
      </c>
      <c r="O29" s="19">
        <f t="shared" si="7"/>
        <v>14.711779179061059</v>
      </c>
      <c r="P29" s="19"/>
      <c r="Q29" s="10">
        <v>26</v>
      </c>
      <c r="R29" s="19">
        <v>0</v>
      </c>
      <c r="S29" s="10">
        <f t="shared" si="18"/>
        <v>0</v>
      </c>
      <c r="T29" s="19">
        <f t="shared" si="1"/>
        <v>1128.1500000000001</v>
      </c>
      <c r="U29" s="19"/>
      <c r="V29" s="19"/>
      <c r="W29" s="10">
        <f>0.5*$D$22*$D$23*$D$30*(Q29*Q29)</f>
        <v>255.85247999999999</v>
      </c>
      <c r="X29" s="10"/>
      <c r="Y29" s="19">
        <f t="shared" si="2"/>
        <v>0</v>
      </c>
      <c r="Z29" s="19"/>
      <c r="AA29" s="19"/>
      <c r="AB29" s="10">
        <f t="shared" si="3"/>
        <v>1384.0024800000001</v>
      </c>
      <c r="AC29" s="10"/>
      <c r="AD29" s="10"/>
      <c r="AE29" s="17">
        <f t="shared" si="4"/>
        <v>35984.064480000001</v>
      </c>
      <c r="AF29" s="19"/>
      <c r="AG29" s="19"/>
      <c r="AH29" s="10">
        <f t="shared" si="5"/>
        <v>2792.9355199999991</v>
      </c>
      <c r="AI29" s="10"/>
      <c r="AJ29" s="10"/>
      <c r="AK29" s="10"/>
      <c r="AL29" s="19">
        <f t="shared" si="19"/>
        <v>2.08</v>
      </c>
      <c r="AM29" s="19"/>
      <c r="AN29" s="19"/>
      <c r="AO29" s="10">
        <f t="shared" si="8"/>
        <v>9355.8567648000007</v>
      </c>
      <c r="AP29" s="10"/>
      <c r="AQ29" s="10"/>
      <c r="AR29" s="10"/>
      <c r="AS29" s="19">
        <v>38777</v>
      </c>
      <c r="AT29" s="4"/>
      <c r="AU29" s="10">
        <v>29.056799999999999</v>
      </c>
      <c r="AV29" s="6"/>
      <c r="AW29" s="19">
        <v>6000</v>
      </c>
      <c r="AX29" s="10">
        <f t="shared" si="9"/>
        <v>12000</v>
      </c>
      <c r="AY29" s="19">
        <f t="shared" si="10"/>
        <v>3.2480000000000002</v>
      </c>
      <c r="AZ29" s="10">
        <f>AY29*$D$36</f>
        <v>3.9788000000000006</v>
      </c>
      <c r="BA29" s="19">
        <f t="shared" si="12"/>
        <v>0.34598260869565223</v>
      </c>
      <c r="BB29" s="39">
        <f t="shared" si="13"/>
        <v>5.7663768115942034E-3</v>
      </c>
      <c r="BC29" s="19">
        <f>BB29*1000</f>
        <v>5.7663768115942036</v>
      </c>
      <c r="BD29" s="10">
        <f t="shared" si="15"/>
        <v>20758.956521739132</v>
      </c>
      <c r="BE29" s="19">
        <f t="shared" si="16"/>
        <v>535.34155183946496</v>
      </c>
      <c r="BF29" s="36"/>
    </row>
    <row r="30" spans="1:58" ht="15.75" x14ac:dyDescent="0.25">
      <c r="A30" s="7" t="s">
        <v>55</v>
      </c>
      <c r="B30" s="6"/>
      <c r="C30" s="6"/>
      <c r="D30" s="6">
        <v>1.2</v>
      </c>
      <c r="E30" s="4"/>
      <c r="F30" s="7" t="s">
        <v>60</v>
      </c>
      <c r="G30" s="6"/>
      <c r="H30" s="19">
        <v>30</v>
      </c>
      <c r="I30" s="17">
        <f t="shared" si="0"/>
        <v>330</v>
      </c>
      <c r="J30" s="10" t="s">
        <v>51</v>
      </c>
      <c r="K30" s="10"/>
      <c r="L30" s="19">
        <v>0.2</v>
      </c>
      <c r="M30" s="19"/>
      <c r="N30" s="10">
        <f t="shared" si="6"/>
        <v>6</v>
      </c>
      <c r="O30" s="19">
        <f t="shared" si="7"/>
        <v>20.711779179061061</v>
      </c>
      <c r="P30" s="19"/>
      <c r="Q30" s="10">
        <v>5</v>
      </c>
      <c r="R30" s="19">
        <v>0</v>
      </c>
      <c r="S30" s="10">
        <f t="shared" si="18"/>
        <v>0</v>
      </c>
      <c r="T30" s="19">
        <f t="shared" si="1"/>
        <v>1128.1500000000001</v>
      </c>
      <c r="U30" s="19"/>
      <c r="V30" s="19"/>
      <c r="W30" s="10">
        <f t="shared" ref="W30:W31" si="20">0.5*$D$22*$D$23*$D$30*(Q30*Q30)</f>
        <v>9.4619999999999997</v>
      </c>
      <c r="X30" s="10"/>
      <c r="Y30" s="19">
        <f t="shared" ref="Y30:Y31" si="21">$D$28*$D$29*-SIN(S30)</f>
        <v>0</v>
      </c>
      <c r="Z30" s="19"/>
      <c r="AA30" s="19"/>
      <c r="AB30" s="10">
        <f t="shared" ref="AB30:AB31" si="22">Y30+W30+T30</f>
        <v>1137.6120000000001</v>
      </c>
      <c r="AC30" s="10"/>
      <c r="AD30" s="10"/>
      <c r="AE30" s="17">
        <f t="shared" ref="AE30:AE31" si="23">AB30*Q30</f>
        <v>5688.06</v>
      </c>
      <c r="AF30" s="19"/>
      <c r="AG30" s="19"/>
      <c r="AH30" s="10">
        <f t="shared" ref="AH30:AH31" si="24">38777-AE30</f>
        <v>33088.94</v>
      </c>
      <c r="AI30" s="10"/>
      <c r="AJ30" s="10"/>
      <c r="AK30" s="10"/>
      <c r="AL30" s="19">
        <f t="shared" si="19"/>
        <v>-3.5</v>
      </c>
      <c r="AM30" s="19"/>
      <c r="AN30" s="19"/>
      <c r="AO30" s="10">
        <f t="shared" si="8"/>
        <v>948.0100000000001</v>
      </c>
      <c r="AP30" s="10"/>
      <c r="AQ30" s="10"/>
      <c r="AR30" s="10"/>
      <c r="AS30" s="19">
        <v>38777</v>
      </c>
      <c r="AT30" s="4"/>
      <c r="AU30" s="10">
        <v>29.056799999999999</v>
      </c>
      <c r="AV30" s="6"/>
      <c r="AW30" s="19">
        <v>2000</v>
      </c>
      <c r="AX30" s="10">
        <f t="shared" si="9"/>
        <v>4000</v>
      </c>
      <c r="AY30" s="19">
        <f t="shared" si="10"/>
        <v>1.0826666666666667</v>
      </c>
      <c r="AZ30" s="10">
        <f t="shared" si="11"/>
        <v>1.3262666666666667</v>
      </c>
      <c r="BA30" s="19">
        <f t="shared" si="12"/>
        <v>0.11532753623188406</v>
      </c>
      <c r="BB30" s="39">
        <f t="shared" si="13"/>
        <v>1.9221256038647343E-3</v>
      </c>
      <c r="BC30" s="19">
        <f t="shared" si="14"/>
        <v>1.9221256038647343</v>
      </c>
      <c r="BD30" s="10">
        <f t="shared" si="15"/>
        <v>6919.652173913043</v>
      </c>
      <c r="BE30" s="19">
        <f t="shared" si="16"/>
        <v>178.44718394648828</v>
      </c>
      <c r="BF30" s="36"/>
    </row>
    <row r="31" spans="1:58" ht="15.75" x14ac:dyDescent="0.25">
      <c r="A31" s="7" t="s">
        <v>58</v>
      </c>
      <c r="B31" s="6"/>
      <c r="C31" s="6"/>
      <c r="D31" s="6">
        <f>(AE25+AE26+AE28+AE29+AE32+AE34+AE37+AE38)/8</f>
        <v>13141.875677901467</v>
      </c>
      <c r="E31" s="4"/>
      <c r="F31" s="7" t="s">
        <v>61</v>
      </c>
      <c r="G31" s="6"/>
      <c r="H31" s="19">
        <v>45</v>
      </c>
      <c r="I31" s="17">
        <f t="shared" si="0"/>
        <v>375</v>
      </c>
      <c r="J31" s="10" t="s">
        <v>51</v>
      </c>
      <c r="K31" s="10"/>
      <c r="L31" s="19">
        <v>0.2</v>
      </c>
      <c r="M31" s="19"/>
      <c r="N31" s="10">
        <f t="shared" si="6"/>
        <v>9</v>
      </c>
      <c r="O31" s="19">
        <f t="shared" si="7"/>
        <v>29.711779179061061</v>
      </c>
      <c r="P31" s="19"/>
      <c r="Q31" s="10">
        <v>5</v>
      </c>
      <c r="R31" s="19">
        <v>0</v>
      </c>
      <c r="S31" s="10">
        <f t="shared" si="18"/>
        <v>0</v>
      </c>
      <c r="T31" s="19">
        <f t="shared" si="1"/>
        <v>1128.1500000000001</v>
      </c>
      <c r="U31" s="19"/>
      <c r="V31" s="19"/>
      <c r="W31" s="10">
        <f t="shared" si="20"/>
        <v>9.4619999999999997</v>
      </c>
      <c r="X31" s="10"/>
      <c r="Y31" s="19">
        <f t="shared" si="21"/>
        <v>0</v>
      </c>
      <c r="Z31" s="19"/>
      <c r="AA31" s="19"/>
      <c r="AB31" s="10">
        <f t="shared" si="22"/>
        <v>1137.6120000000001</v>
      </c>
      <c r="AC31" s="10"/>
      <c r="AD31" s="10"/>
      <c r="AE31" s="17">
        <f t="shared" si="23"/>
        <v>5688.06</v>
      </c>
      <c r="AF31" s="19"/>
      <c r="AG31" s="19"/>
      <c r="AH31" s="10">
        <f t="shared" si="24"/>
        <v>33088.94</v>
      </c>
      <c r="AI31" s="10"/>
      <c r="AJ31" s="10"/>
      <c r="AK31" s="10"/>
      <c r="AL31" s="19">
        <f t="shared" si="19"/>
        <v>0</v>
      </c>
      <c r="AM31" s="19"/>
      <c r="AN31" s="19"/>
      <c r="AO31" s="10">
        <f t="shared" si="8"/>
        <v>632.00666666666666</v>
      </c>
      <c r="AP31" s="10"/>
      <c r="AQ31" s="10"/>
      <c r="AR31" s="10"/>
      <c r="AS31" s="19">
        <v>38777</v>
      </c>
      <c r="AT31" s="4"/>
      <c r="AU31" s="10">
        <v>29.056799999999999</v>
      </c>
      <c r="AV31" s="6"/>
      <c r="AW31" s="19">
        <v>2500</v>
      </c>
      <c r="AX31" s="10">
        <f t="shared" si="9"/>
        <v>5000</v>
      </c>
      <c r="AY31" s="19">
        <f t="shared" si="10"/>
        <v>1.3533333333333333</v>
      </c>
      <c r="AZ31" s="10">
        <f t="shared" si="11"/>
        <v>1.6578333333333335</v>
      </c>
      <c r="BA31" s="19">
        <f t="shared" si="12"/>
        <v>0.14415942028985509</v>
      </c>
      <c r="BB31" s="39">
        <f t="shared" si="13"/>
        <v>2.4026570048309181E-3</v>
      </c>
      <c r="BC31" s="19">
        <f t="shared" si="14"/>
        <v>2.4026570048309179</v>
      </c>
      <c r="BD31" s="10">
        <f t="shared" si="15"/>
        <v>8649.565217391304</v>
      </c>
      <c r="BE31" s="19">
        <f t="shared" si="16"/>
        <v>223.05897993311035</v>
      </c>
      <c r="BF31" s="36"/>
    </row>
    <row r="32" spans="1:58" ht="15.75" x14ac:dyDescent="0.25">
      <c r="A32" s="7" t="s">
        <v>59</v>
      </c>
      <c r="B32" s="6"/>
      <c r="C32" s="6"/>
      <c r="D32" s="6">
        <f>AE25+AE26+AE28+AE29+AE32+AE34+AE38+AE37</f>
        <v>105135.00542321174</v>
      </c>
      <c r="E32" s="4"/>
      <c r="F32" s="7" t="s">
        <v>44</v>
      </c>
      <c r="G32" s="6"/>
      <c r="H32" s="19">
        <v>6</v>
      </c>
      <c r="I32" s="17">
        <f t="shared" si="0"/>
        <v>381</v>
      </c>
      <c r="J32" s="10" t="s">
        <v>51</v>
      </c>
      <c r="K32" s="10"/>
      <c r="L32" s="19">
        <v>0.2</v>
      </c>
      <c r="M32" s="19"/>
      <c r="N32" s="10">
        <f t="shared" ref="N32:N40" si="25">H32/Q32</f>
        <v>0.6</v>
      </c>
      <c r="O32" s="19">
        <f t="shared" si="7"/>
        <v>30.311779179061062</v>
      </c>
      <c r="P32" s="19"/>
      <c r="Q32" s="10">
        <v>10</v>
      </c>
      <c r="R32" s="19">
        <v>5</v>
      </c>
      <c r="S32" s="10">
        <f>DEGREES(ASIN(R32/H32))</f>
        <v>56.442690238079287</v>
      </c>
      <c r="T32" s="19">
        <f t="shared" si="1"/>
        <v>1128.1500000000001</v>
      </c>
      <c r="U32" s="19"/>
      <c r="V32" s="19"/>
      <c r="W32" s="10">
        <f>0.5*$D$22*$D$23*$D$30*(Q32*Q32)</f>
        <v>37.847999999999999</v>
      </c>
      <c r="X32" s="10"/>
      <c r="Y32" s="19">
        <f>$D$28*$D$29*-SIN(S32)</f>
        <v>596.67436913870495</v>
      </c>
      <c r="Z32" s="19"/>
      <c r="AA32" s="19"/>
      <c r="AB32" s="10">
        <f>Y32+W32+T32</f>
        <v>1762.6723691387051</v>
      </c>
      <c r="AC32" s="10"/>
      <c r="AD32" s="10"/>
      <c r="AE32" s="17">
        <f>AB32*Q32</f>
        <v>17626.723691387051</v>
      </c>
      <c r="AF32" s="19"/>
      <c r="AG32" s="19"/>
      <c r="AH32" s="10">
        <f>38777-AE32</f>
        <v>21150.276308612949</v>
      </c>
      <c r="AI32" s="10"/>
      <c r="AJ32" s="10"/>
      <c r="AK32" s="10"/>
      <c r="AL32" s="19">
        <f t="shared" si="19"/>
        <v>8.3333333333333339</v>
      </c>
      <c r="AM32" s="19"/>
      <c r="AN32" s="19"/>
      <c r="AO32" s="10">
        <f t="shared" si="8"/>
        <v>29377.87281897842</v>
      </c>
      <c r="AP32" s="10"/>
      <c r="AQ32" s="10"/>
      <c r="AR32" s="10"/>
      <c r="AS32" s="19">
        <v>38777</v>
      </c>
      <c r="AT32" s="4"/>
      <c r="AU32" s="10">
        <v>29.056799999999999</v>
      </c>
      <c r="AV32" s="6"/>
      <c r="AW32" s="19">
        <v>6000</v>
      </c>
      <c r="AX32" s="10">
        <f t="shared" si="9"/>
        <v>12000</v>
      </c>
      <c r="AY32" s="19">
        <f t="shared" si="10"/>
        <v>3.2480000000000002</v>
      </c>
      <c r="AZ32" s="10">
        <f t="shared" si="11"/>
        <v>3.9788000000000006</v>
      </c>
      <c r="BA32" s="19">
        <f t="shared" si="12"/>
        <v>0.34598260869565223</v>
      </c>
      <c r="BB32" s="39">
        <f t="shared" si="13"/>
        <v>5.7663768115942034E-3</v>
      </c>
      <c r="BC32" s="19">
        <f t="shared" si="14"/>
        <v>5.7663768115942036</v>
      </c>
      <c r="BD32" s="10">
        <f t="shared" si="15"/>
        <v>20758.956521739132</v>
      </c>
      <c r="BE32" s="19">
        <f t="shared" si="16"/>
        <v>535.34155183946496</v>
      </c>
      <c r="BF32" s="36"/>
    </row>
    <row r="33" spans="1:58" ht="15.75" x14ac:dyDescent="0.25">
      <c r="A33" s="7" t="s">
        <v>86</v>
      </c>
      <c r="B33" s="6"/>
      <c r="C33" s="6"/>
      <c r="D33" s="6">
        <v>11.5</v>
      </c>
      <c r="E33" s="4"/>
      <c r="F33" s="7" t="s">
        <v>45</v>
      </c>
      <c r="G33" s="6"/>
      <c r="H33" s="19">
        <v>10</v>
      </c>
      <c r="I33" s="17">
        <f t="shared" si="0"/>
        <v>391</v>
      </c>
      <c r="J33" s="10" t="s">
        <v>51</v>
      </c>
      <c r="K33" s="10"/>
      <c r="L33" s="19">
        <v>0.2</v>
      </c>
      <c r="M33" s="19"/>
      <c r="N33" s="10">
        <f t="shared" si="25"/>
        <v>0.76923076923076927</v>
      </c>
      <c r="O33" s="19">
        <f t="shared" si="7"/>
        <v>31.081009948291833</v>
      </c>
      <c r="P33" s="19"/>
      <c r="Q33" s="10">
        <v>13</v>
      </c>
      <c r="R33" s="20">
        <v>-8</v>
      </c>
      <c r="S33" s="21">
        <f>DEGREES(ASIN(R33/H33))</f>
        <v>-53.130102354155987</v>
      </c>
      <c r="T33" s="19">
        <f t="shared" si="1"/>
        <v>1128.1500000000001</v>
      </c>
      <c r="U33" s="19"/>
      <c r="V33" s="19"/>
      <c r="W33" s="10">
        <f>0.5*$D$22*$D$23*$D$30*(Q33*Q33)</f>
        <v>63.963119999999996</v>
      </c>
      <c r="X33" s="10"/>
      <c r="Y33" s="20">
        <f>$D$28*$D$29*SIN(S33)</f>
        <v>-1542.4350994899237</v>
      </c>
      <c r="Z33" s="19"/>
      <c r="AA33" s="19"/>
      <c r="AB33" s="21">
        <f>Y33+W33+T33</f>
        <v>-350.32197948992371</v>
      </c>
      <c r="AC33" s="22"/>
      <c r="AD33" s="22"/>
      <c r="AE33" s="20">
        <f>AB33*Q33</f>
        <v>-4554.1857333690077</v>
      </c>
      <c r="AF33" s="19"/>
      <c r="AG33" s="19"/>
      <c r="AH33" s="21">
        <f>38777-AE33</f>
        <v>43331.185733369006</v>
      </c>
      <c r="AI33" s="10"/>
      <c r="AJ33" s="10"/>
      <c r="AK33" s="10"/>
      <c r="AL33" s="19">
        <f t="shared" si="19"/>
        <v>3.9</v>
      </c>
      <c r="AM33" s="19"/>
      <c r="AN33" s="19"/>
      <c r="AO33" s="21">
        <f t="shared" si="8"/>
        <v>-5920.4414533797099</v>
      </c>
      <c r="AP33" s="10"/>
      <c r="AQ33" s="10"/>
      <c r="AR33" s="10"/>
      <c r="AS33" s="19">
        <v>38777</v>
      </c>
      <c r="AT33" s="4"/>
      <c r="AU33" s="10">
        <v>29.056799999999999</v>
      </c>
      <c r="AV33" s="6"/>
      <c r="AW33" s="19">
        <v>5000</v>
      </c>
      <c r="AX33" s="10">
        <f t="shared" si="9"/>
        <v>10000</v>
      </c>
      <c r="AY33" s="19">
        <f t="shared" si="10"/>
        <v>2.7066666666666666</v>
      </c>
      <c r="AZ33" s="10">
        <f t="shared" si="11"/>
        <v>3.315666666666667</v>
      </c>
      <c r="BA33" s="19">
        <f t="shared" si="12"/>
        <v>0.28831884057971019</v>
      </c>
      <c r="BB33" s="39">
        <f t="shared" si="13"/>
        <v>4.8053140096618362E-3</v>
      </c>
      <c r="BC33" s="19">
        <f t="shared" si="14"/>
        <v>4.8053140096618359</v>
      </c>
      <c r="BD33" s="10">
        <f t="shared" si="15"/>
        <v>17299.130434782608</v>
      </c>
      <c r="BE33" s="19">
        <f t="shared" si="16"/>
        <v>446.1179598662207</v>
      </c>
      <c r="BF33" s="36"/>
    </row>
    <row r="34" spans="1:58" ht="15.75" x14ac:dyDescent="0.25">
      <c r="A34" s="7" t="s">
        <v>91</v>
      </c>
      <c r="B34" s="6"/>
      <c r="C34" s="6"/>
      <c r="D34" s="6">
        <f>812/3</f>
        <v>270.66666666666669</v>
      </c>
      <c r="E34" s="4"/>
      <c r="F34" s="7" t="s">
        <v>46</v>
      </c>
      <c r="G34" s="6"/>
      <c r="H34" s="19">
        <v>4</v>
      </c>
      <c r="I34" s="17">
        <f t="shared" si="0"/>
        <v>395</v>
      </c>
      <c r="J34" s="10" t="s">
        <v>52</v>
      </c>
      <c r="K34" s="10"/>
      <c r="L34" s="19">
        <v>0.08</v>
      </c>
      <c r="M34" s="19"/>
      <c r="N34" s="10">
        <f t="shared" si="25"/>
        <v>1.3333333333333333</v>
      </c>
      <c r="O34" s="19">
        <f t="shared" si="7"/>
        <v>32.414343281625165</v>
      </c>
      <c r="P34" s="19"/>
      <c r="Q34" s="10">
        <v>3</v>
      </c>
      <c r="R34" s="19">
        <v>0</v>
      </c>
      <c r="S34" s="10">
        <f>DEGREES(ASIN(R34/H34))</f>
        <v>0</v>
      </c>
      <c r="T34" s="19">
        <f t="shared" si="1"/>
        <v>451.26000000000005</v>
      </c>
      <c r="U34" s="19"/>
      <c r="V34" s="19"/>
      <c r="W34" s="10">
        <f>0.5*$D$22*$D$23*$D$30*(Q34*Q34)</f>
        <v>3.40632</v>
      </c>
      <c r="X34" s="10"/>
      <c r="Y34" s="19">
        <f>$D$28*$D$29*-SIN(S34)</f>
        <v>0</v>
      </c>
      <c r="Z34" s="19"/>
      <c r="AA34" s="19"/>
      <c r="AB34" s="10">
        <f>Y34+W34+T34</f>
        <v>454.66632000000004</v>
      </c>
      <c r="AC34" s="10"/>
      <c r="AD34" s="10"/>
      <c r="AE34" s="17">
        <f>AB34*Q34</f>
        <v>1363.9989600000001</v>
      </c>
      <c r="AF34" s="19"/>
      <c r="AG34" s="19"/>
      <c r="AH34" s="10">
        <f>38777-AE34</f>
        <v>37413.001040000003</v>
      </c>
      <c r="AI34" s="10"/>
      <c r="AJ34" s="10"/>
      <c r="AK34" s="10"/>
      <c r="AL34" s="19">
        <f t="shared" si="19"/>
        <v>-7.5</v>
      </c>
      <c r="AM34" s="19"/>
      <c r="AN34" s="19"/>
      <c r="AO34" s="10">
        <f t="shared" si="8"/>
        <v>1022.9992200000002</v>
      </c>
      <c r="AP34" s="10"/>
      <c r="AQ34" s="10"/>
      <c r="AR34" s="10"/>
      <c r="AS34" s="19">
        <v>38777</v>
      </c>
      <c r="AT34" s="4"/>
      <c r="AU34" s="10">
        <v>29.056799999999999</v>
      </c>
      <c r="AV34" s="6"/>
      <c r="AW34" s="19">
        <v>2500</v>
      </c>
      <c r="AX34" s="10">
        <f t="shared" si="9"/>
        <v>5000</v>
      </c>
      <c r="AY34" s="19">
        <f t="shared" si="10"/>
        <v>1.3533333333333333</v>
      </c>
      <c r="AZ34" s="10">
        <f t="shared" si="11"/>
        <v>1.6578333333333335</v>
      </c>
      <c r="BA34" s="19">
        <f t="shared" si="12"/>
        <v>0.14415942028985509</v>
      </c>
      <c r="BB34" s="39">
        <f t="shared" si="13"/>
        <v>2.4026570048309181E-3</v>
      </c>
      <c r="BC34" s="19">
        <f t="shared" si="14"/>
        <v>2.4026570048309179</v>
      </c>
      <c r="BD34" s="10">
        <f t="shared" si="15"/>
        <v>8649.565217391304</v>
      </c>
      <c r="BE34" s="19">
        <f t="shared" si="16"/>
        <v>223.05897993311035</v>
      </c>
      <c r="BF34" s="36"/>
    </row>
    <row r="35" spans="1:58" ht="15.75" x14ac:dyDescent="0.25">
      <c r="A35" s="7" t="s">
        <v>90</v>
      </c>
      <c r="B35" s="6"/>
      <c r="C35" s="6"/>
      <c r="D35" s="35">
        <f>D34/1000000</f>
        <v>2.7066666666666667E-4</v>
      </c>
      <c r="E35" s="4"/>
      <c r="F35" s="7" t="s">
        <v>62</v>
      </c>
      <c r="G35" s="6"/>
      <c r="H35" s="19">
        <v>88</v>
      </c>
      <c r="I35" s="17">
        <f t="shared" si="0"/>
        <v>483</v>
      </c>
      <c r="J35" s="10" t="s">
        <v>52</v>
      </c>
      <c r="K35" s="10"/>
      <c r="L35" s="19">
        <v>0.08</v>
      </c>
      <c r="M35" s="19"/>
      <c r="N35" s="10">
        <f t="shared" si="25"/>
        <v>7.333333333333333</v>
      </c>
      <c r="O35" s="19">
        <f t="shared" si="7"/>
        <v>39.7476766149585</v>
      </c>
      <c r="P35" s="19"/>
      <c r="Q35" s="10">
        <v>12</v>
      </c>
      <c r="R35" s="19">
        <v>0</v>
      </c>
      <c r="S35" s="10">
        <f t="shared" ref="S35:S36" si="26">DEGREES(ASIN(R35/H35))</f>
        <v>0</v>
      </c>
      <c r="T35" s="19">
        <f t="shared" ref="T35:T36" si="27">$D$28*L35*$D$29</f>
        <v>451.26000000000005</v>
      </c>
      <c r="U35" s="19"/>
      <c r="V35" s="19"/>
      <c r="W35" s="10">
        <f t="shared" ref="W35:W36" si="28">0.5*$D$22*$D$23*$D$30*(Q35*Q35)</f>
        <v>54.50112</v>
      </c>
      <c r="X35" s="10"/>
      <c r="Y35" s="19">
        <f t="shared" ref="Y35:Y36" si="29">$D$28*$D$29*-SIN(S35)</f>
        <v>0</v>
      </c>
      <c r="Z35" s="19"/>
      <c r="AA35" s="19"/>
      <c r="AB35" s="10">
        <f t="shared" ref="AB35:AB36" si="30">Y35+W35+T35</f>
        <v>505.76112000000006</v>
      </c>
      <c r="AC35" s="10"/>
      <c r="AD35" s="10"/>
      <c r="AE35" s="17">
        <f t="shared" ref="AE35:AE36" si="31">AB35*Q35</f>
        <v>6069.1334400000005</v>
      </c>
      <c r="AF35" s="19"/>
      <c r="AG35" s="19"/>
      <c r="AH35" s="10">
        <f t="shared" ref="AH35:AH36" si="32">38777-AE35</f>
        <v>32707.866559999999</v>
      </c>
      <c r="AI35" s="10"/>
      <c r="AJ35" s="10"/>
      <c r="AK35" s="10"/>
      <c r="AL35" s="19">
        <f t="shared" si="19"/>
        <v>1.2272727272727273</v>
      </c>
      <c r="AM35" s="19"/>
      <c r="AN35" s="19"/>
      <c r="AO35" s="10">
        <f t="shared" si="8"/>
        <v>827.60910545454556</v>
      </c>
      <c r="AP35" s="10"/>
      <c r="AQ35" s="10"/>
      <c r="AR35" s="10"/>
      <c r="AS35" s="19">
        <v>38777</v>
      </c>
      <c r="AT35" s="4"/>
      <c r="AU35" s="10">
        <v>29.056799999999999</v>
      </c>
      <c r="AV35" s="6"/>
      <c r="AW35" s="19">
        <v>4000</v>
      </c>
      <c r="AX35" s="10">
        <f t="shared" si="9"/>
        <v>8000</v>
      </c>
      <c r="AY35" s="19">
        <f t="shared" si="10"/>
        <v>2.1653333333333333</v>
      </c>
      <c r="AZ35" s="10">
        <f t="shared" si="11"/>
        <v>2.6525333333333334</v>
      </c>
      <c r="BA35" s="19">
        <f t="shared" si="12"/>
        <v>0.23065507246376812</v>
      </c>
      <c r="BB35" s="39">
        <f t="shared" si="13"/>
        <v>3.8442512077294685E-3</v>
      </c>
      <c r="BC35" s="19">
        <f t="shared" si="14"/>
        <v>3.8442512077294686</v>
      </c>
      <c r="BD35" s="10">
        <f t="shared" si="15"/>
        <v>13839.304347826086</v>
      </c>
      <c r="BE35" s="19">
        <f t="shared" si="16"/>
        <v>356.89436789297656</v>
      </c>
      <c r="BF35" s="36"/>
    </row>
    <row r="36" spans="1:58" ht="15.75" x14ac:dyDescent="0.25">
      <c r="A36" s="7" t="s">
        <v>92</v>
      </c>
      <c r="B36" s="6"/>
      <c r="C36" s="6"/>
      <c r="D36" s="35">
        <v>1.2250000000000001</v>
      </c>
      <c r="E36" s="4"/>
      <c r="F36" s="7" t="s">
        <v>63</v>
      </c>
      <c r="G36" s="6"/>
      <c r="H36" s="19">
        <v>88</v>
      </c>
      <c r="I36" s="17">
        <f t="shared" si="0"/>
        <v>571</v>
      </c>
      <c r="J36" s="10" t="s">
        <v>52</v>
      </c>
      <c r="K36" s="10"/>
      <c r="L36" s="19">
        <v>0.08</v>
      </c>
      <c r="M36" s="19"/>
      <c r="N36" s="10">
        <f t="shared" si="25"/>
        <v>9.7777777777777786</v>
      </c>
      <c r="O36" s="19">
        <f t="shared" si="7"/>
        <v>49.525454392736279</v>
      </c>
      <c r="P36" s="19"/>
      <c r="Q36" s="10">
        <v>9</v>
      </c>
      <c r="R36" s="19">
        <v>0</v>
      </c>
      <c r="S36" s="10">
        <f t="shared" si="26"/>
        <v>0</v>
      </c>
      <c r="T36" s="19">
        <f t="shared" si="27"/>
        <v>451.26000000000005</v>
      </c>
      <c r="U36" s="19"/>
      <c r="V36" s="19"/>
      <c r="W36" s="10">
        <f t="shared" si="28"/>
        <v>30.656879999999997</v>
      </c>
      <c r="X36" s="10"/>
      <c r="Y36" s="19">
        <f t="shared" si="29"/>
        <v>0</v>
      </c>
      <c r="Z36" s="19"/>
      <c r="AA36" s="19"/>
      <c r="AB36" s="10">
        <f t="shared" si="30"/>
        <v>481.91688000000005</v>
      </c>
      <c r="AC36" s="10"/>
      <c r="AD36" s="10"/>
      <c r="AE36" s="17">
        <f t="shared" si="31"/>
        <v>4337.2519200000006</v>
      </c>
      <c r="AF36" s="19"/>
      <c r="AG36" s="19"/>
      <c r="AH36" s="10">
        <f t="shared" si="32"/>
        <v>34439.748079999998</v>
      </c>
      <c r="AI36" s="10"/>
      <c r="AJ36" s="10"/>
      <c r="AK36" s="10"/>
      <c r="AL36" s="19">
        <f t="shared" si="19"/>
        <v>-0.30681818181818177</v>
      </c>
      <c r="AM36" s="19"/>
      <c r="AN36" s="19"/>
      <c r="AO36" s="10">
        <f t="shared" si="8"/>
        <v>443.58258272727278</v>
      </c>
      <c r="AP36" s="10"/>
      <c r="AQ36" s="10"/>
      <c r="AR36" s="10"/>
      <c r="AS36" s="19">
        <v>38777</v>
      </c>
      <c r="AT36" s="4"/>
      <c r="AU36" s="10">
        <v>29.056799999999999</v>
      </c>
      <c r="AV36" s="6"/>
      <c r="AW36" s="19">
        <v>4500</v>
      </c>
      <c r="AX36" s="10">
        <f t="shared" si="9"/>
        <v>9000</v>
      </c>
      <c r="AY36" s="19">
        <f t="shared" si="10"/>
        <v>2.4359999999999999</v>
      </c>
      <c r="AZ36" s="10">
        <f t="shared" si="11"/>
        <v>2.9841000000000002</v>
      </c>
      <c r="BA36" s="19">
        <f t="shared" si="12"/>
        <v>0.25948695652173914</v>
      </c>
      <c r="BB36" s="39">
        <f t="shared" si="13"/>
        <v>4.3247826086956521E-3</v>
      </c>
      <c r="BC36" s="19">
        <f t="shared" si="14"/>
        <v>4.324782608695652</v>
      </c>
      <c r="BD36" s="10">
        <f t="shared" si="15"/>
        <v>15569.217391304348</v>
      </c>
      <c r="BE36" s="19">
        <f t="shared" si="16"/>
        <v>401.50616387959866</v>
      </c>
      <c r="BF36" s="36"/>
    </row>
    <row r="37" spans="1:58" ht="15.75" x14ac:dyDescent="0.25">
      <c r="A37" s="6"/>
      <c r="B37" s="6"/>
      <c r="C37" s="6"/>
      <c r="D37" s="6"/>
      <c r="E37" s="4"/>
      <c r="F37" s="7" t="s">
        <v>49</v>
      </c>
      <c r="G37" s="6"/>
      <c r="H37" s="19">
        <v>6</v>
      </c>
      <c r="I37" s="17">
        <f t="shared" si="0"/>
        <v>577</v>
      </c>
      <c r="J37" s="10" t="s">
        <v>52</v>
      </c>
      <c r="K37" s="10"/>
      <c r="L37" s="19">
        <v>0.08</v>
      </c>
      <c r="M37" s="19"/>
      <c r="N37" s="10">
        <f t="shared" si="25"/>
        <v>1.2</v>
      </c>
      <c r="O37" s="19">
        <f t="shared" si="7"/>
        <v>50.725454392736282</v>
      </c>
      <c r="P37" s="19"/>
      <c r="Q37" s="10">
        <v>5</v>
      </c>
      <c r="R37" s="19">
        <v>5</v>
      </c>
      <c r="S37" s="10">
        <f>DEGREES(ASIN(R37/H37))</f>
        <v>56.442690238079287</v>
      </c>
      <c r="T37" s="19">
        <f>$D$28*L37*$D$29</f>
        <v>451.26000000000005</v>
      </c>
      <c r="U37" s="19"/>
      <c r="V37" s="19"/>
      <c r="W37" s="10">
        <f>0.5*$D$22*$D$23*$D$30*(Q37*Q37)</f>
        <v>9.4619999999999997</v>
      </c>
      <c r="X37" s="10"/>
      <c r="Y37" s="19">
        <f>$D$28*$D$29*-SIN(S37)</f>
        <v>596.67436913870495</v>
      </c>
      <c r="Z37" s="19"/>
      <c r="AA37" s="19"/>
      <c r="AB37" s="10">
        <f>Y37+W37+T37</f>
        <v>1057.396369138705</v>
      </c>
      <c r="AC37" s="10"/>
      <c r="AD37" s="10"/>
      <c r="AE37" s="17">
        <f>AB37*Q37</f>
        <v>5286.9818456935254</v>
      </c>
      <c r="AF37" s="19"/>
      <c r="AG37" s="19"/>
      <c r="AH37" s="10">
        <f>38777-AE37</f>
        <v>33490.018154306475</v>
      </c>
      <c r="AI37" s="10"/>
      <c r="AJ37" s="10"/>
      <c r="AK37" s="10"/>
      <c r="AL37" s="19">
        <f t="shared" si="19"/>
        <v>-3.3333333333333335</v>
      </c>
      <c r="AM37" s="19"/>
      <c r="AN37" s="19"/>
      <c r="AO37" s="10">
        <f t="shared" si="8"/>
        <v>4405.8182047446044</v>
      </c>
      <c r="AP37" s="10"/>
      <c r="AQ37" s="10"/>
      <c r="AR37" s="10"/>
      <c r="AS37" s="19">
        <v>38777</v>
      </c>
      <c r="AT37" s="4"/>
      <c r="AU37" s="10">
        <v>29.056799999999999</v>
      </c>
      <c r="AV37" s="6"/>
      <c r="AW37" s="19">
        <v>6000</v>
      </c>
      <c r="AX37" s="10">
        <f t="shared" si="9"/>
        <v>12000</v>
      </c>
      <c r="AY37" s="19">
        <f t="shared" si="10"/>
        <v>3.2480000000000002</v>
      </c>
      <c r="AZ37" s="10">
        <f t="shared" si="11"/>
        <v>3.9788000000000006</v>
      </c>
      <c r="BA37" s="19">
        <f t="shared" si="12"/>
        <v>0.34598260869565223</v>
      </c>
      <c r="BB37" s="39">
        <f t="shared" si="13"/>
        <v>5.7663768115942034E-3</v>
      </c>
      <c r="BC37" s="19">
        <f t="shared" si="14"/>
        <v>5.7663768115942036</v>
      </c>
      <c r="BD37" s="10">
        <f t="shared" si="15"/>
        <v>20758.956521739132</v>
      </c>
      <c r="BE37" s="19">
        <f t="shared" si="16"/>
        <v>535.34155183946496</v>
      </c>
      <c r="BF37" s="36"/>
    </row>
    <row r="38" spans="1:58" ht="15.75" x14ac:dyDescent="0.25">
      <c r="A38" s="6"/>
      <c r="B38" s="6"/>
      <c r="C38" s="6"/>
      <c r="D38" s="6"/>
      <c r="E38" s="4"/>
      <c r="F38" s="7" t="s">
        <v>48</v>
      </c>
      <c r="G38" s="6"/>
      <c r="H38" s="19">
        <v>6</v>
      </c>
      <c r="I38" s="17">
        <f t="shared" si="0"/>
        <v>583</v>
      </c>
      <c r="J38" s="10" t="s">
        <v>50</v>
      </c>
      <c r="K38" s="10"/>
      <c r="L38" s="19">
        <v>0.02</v>
      </c>
      <c r="M38" s="19"/>
      <c r="N38" s="10">
        <f t="shared" si="25"/>
        <v>0.54545454545454541</v>
      </c>
      <c r="O38" s="19">
        <f t="shared" si="7"/>
        <v>51.270908938190829</v>
      </c>
      <c r="P38" s="19"/>
      <c r="Q38" s="10">
        <v>11</v>
      </c>
      <c r="R38" s="19">
        <v>0</v>
      </c>
      <c r="S38" s="10">
        <f>DEGREES(ASIN(R38/H38))</f>
        <v>0</v>
      </c>
      <c r="T38" s="19">
        <f>$D$28*L38*$D$29</f>
        <v>112.81500000000001</v>
      </c>
      <c r="U38" s="19"/>
      <c r="V38" s="19"/>
      <c r="W38" s="10">
        <f>0.5*$D$22*$D$23*$D$30*(Q38*Q38)</f>
        <v>45.796079999999996</v>
      </c>
      <c r="X38" s="10"/>
      <c r="Y38" s="19">
        <f>$D$28*$D$29*-SIN(S38)</f>
        <v>0</v>
      </c>
      <c r="Z38" s="19"/>
      <c r="AA38" s="19"/>
      <c r="AB38" s="10">
        <f>Y38+W38+T38</f>
        <v>158.61108000000002</v>
      </c>
      <c r="AC38" s="10"/>
      <c r="AD38" s="10"/>
      <c r="AE38" s="17">
        <f>AB38*Q38</f>
        <v>1744.7218800000001</v>
      </c>
      <c r="AF38" s="19"/>
      <c r="AG38" s="19"/>
      <c r="AH38" s="10">
        <f>38777-AE38</f>
        <v>37032.278120000003</v>
      </c>
      <c r="AI38" s="10"/>
      <c r="AJ38" s="10"/>
      <c r="AK38" s="10"/>
      <c r="AL38" s="19">
        <f t="shared" si="19"/>
        <v>11</v>
      </c>
      <c r="AM38" s="19"/>
      <c r="AN38" s="19"/>
      <c r="AO38" s="10">
        <f t="shared" si="8"/>
        <v>3198.6567800000003</v>
      </c>
      <c r="AP38" s="10"/>
      <c r="AQ38" s="10"/>
      <c r="AR38" s="10"/>
      <c r="AS38" s="19">
        <v>38777</v>
      </c>
      <c r="AT38" s="4"/>
      <c r="AU38" s="10">
        <v>29.056799999999999</v>
      </c>
      <c r="AV38" s="6"/>
      <c r="AW38" s="19">
        <v>3500</v>
      </c>
      <c r="AX38" s="10">
        <f t="shared" si="9"/>
        <v>7000</v>
      </c>
      <c r="AY38" s="19">
        <f t="shared" si="10"/>
        <v>1.8946666666666667</v>
      </c>
      <c r="AZ38" s="10">
        <f t="shared" si="11"/>
        <v>2.3209666666666671</v>
      </c>
      <c r="BA38" s="19">
        <f t="shared" si="12"/>
        <v>0.20182318840579713</v>
      </c>
      <c r="BB38" s="39">
        <f t="shared" si="13"/>
        <v>3.3637198067632853E-3</v>
      </c>
      <c r="BC38" s="19">
        <f t="shared" si="14"/>
        <v>3.3637198067632852</v>
      </c>
      <c r="BD38" s="10">
        <f t="shared" si="15"/>
        <v>12109.391304347826</v>
      </c>
      <c r="BE38" s="19">
        <f t="shared" si="16"/>
        <v>312.28257190635452</v>
      </c>
      <c r="BF38" s="36"/>
    </row>
    <row r="39" spans="1:58" ht="15.75" x14ac:dyDescent="0.25">
      <c r="A39" s="6"/>
      <c r="B39" s="6"/>
      <c r="C39" s="6"/>
      <c r="D39" s="6"/>
      <c r="E39" s="4"/>
      <c r="F39" s="7" t="s">
        <v>47</v>
      </c>
      <c r="G39" s="6"/>
      <c r="H39" s="19">
        <v>50</v>
      </c>
      <c r="I39" s="17">
        <f t="shared" si="0"/>
        <v>633</v>
      </c>
      <c r="J39" s="10" t="s">
        <v>50</v>
      </c>
      <c r="K39" s="10"/>
      <c r="L39" s="19">
        <v>0.02</v>
      </c>
      <c r="M39" s="19"/>
      <c r="N39" s="10">
        <f t="shared" si="25"/>
        <v>3.3333333333333335</v>
      </c>
      <c r="O39" s="19">
        <f t="shared" si="7"/>
        <v>54.604242271524164</v>
      </c>
      <c r="P39" s="19"/>
      <c r="Q39" s="10">
        <v>15</v>
      </c>
      <c r="R39" s="20">
        <v>-2.5</v>
      </c>
      <c r="S39" s="21">
        <f>DEGREES(ASIN(R39/H39))</f>
        <v>-2.8659839825988622</v>
      </c>
      <c r="T39" s="19">
        <f>$D$28*L39*$D$29</f>
        <v>112.81500000000001</v>
      </c>
      <c r="U39" s="19"/>
      <c r="V39" s="19"/>
      <c r="W39" s="10">
        <f>0.5*$D$22*$D$23*$D$30*(Q39*Q39)</f>
        <v>85.158000000000001</v>
      </c>
      <c r="X39" s="10"/>
      <c r="Y39" s="20">
        <f>$D$28*$D$29*SIN(S39)</f>
        <v>-1535.032453728619</v>
      </c>
      <c r="Z39" s="19"/>
      <c r="AA39" s="19"/>
      <c r="AB39" s="21">
        <f>Y39+W39+T39</f>
        <v>-1337.059453728619</v>
      </c>
      <c r="AC39" s="22"/>
      <c r="AD39" s="22"/>
      <c r="AE39" s="20">
        <f>AB39*Q39</f>
        <v>-20055.891805929285</v>
      </c>
      <c r="AF39" s="19"/>
      <c r="AG39" s="19"/>
      <c r="AH39" s="21">
        <f>38777-AE39</f>
        <v>58832.891805929285</v>
      </c>
      <c r="AI39" s="10"/>
      <c r="AJ39" s="10"/>
      <c r="AK39" s="10"/>
      <c r="AL39" s="19">
        <f t="shared" si="19"/>
        <v>1.2</v>
      </c>
      <c r="AM39" s="19"/>
      <c r="AN39" s="19"/>
      <c r="AO39" s="21">
        <f t="shared" si="8"/>
        <v>-6016.767541778785</v>
      </c>
      <c r="AP39" s="10"/>
      <c r="AQ39" s="10"/>
      <c r="AR39" s="10"/>
      <c r="AS39" s="19">
        <v>38777</v>
      </c>
      <c r="AT39" s="4"/>
      <c r="AU39" s="10">
        <v>29.056799999999999</v>
      </c>
      <c r="AV39" s="6"/>
      <c r="AW39" s="19">
        <v>3500</v>
      </c>
      <c r="AX39" s="10">
        <f t="shared" si="9"/>
        <v>7000</v>
      </c>
      <c r="AY39" s="19">
        <f t="shared" si="10"/>
        <v>1.8946666666666667</v>
      </c>
      <c r="AZ39" s="10">
        <f t="shared" si="11"/>
        <v>2.3209666666666671</v>
      </c>
      <c r="BA39" s="19">
        <f t="shared" si="12"/>
        <v>0.20182318840579713</v>
      </c>
      <c r="BB39" s="39">
        <f t="shared" si="13"/>
        <v>3.3637198067632853E-3</v>
      </c>
      <c r="BC39" s="19">
        <f t="shared" si="14"/>
        <v>3.3637198067632852</v>
      </c>
      <c r="BD39" s="10">
        <f t="shared" si="15"/>
        <v>12109.391304347826</v>
      </c>
      <c r="BE39" s="19">
        <f t="shared" si="16"/>
        <v>312.28257190635452</v>
      </c>
      <c r="BF39" s="36"/>
    </row>
    <row r="40" spans="1:58" ht="15.75" x14ac:dyDescent="0.25">
      <c r="A40" s="6"/>
      <c r="B40" s="6"/>
      <c r="C40" s="6"/>
      <c r="D40" s="6"/>
      <c r="E40" s="4"/>
      <c r="F40" s="7" t="s">
        <v>64</v>
      </c>
      <c r="G40" s="6"/>
      <c r="H40" s="19">
        <v>70</v>
      </c>
      <c r="I40" s="17">
        <f t="shared" si="0"/>
        <v>703</v>
      </c>
      <c r="J40" s="10" t="s">
        <v>50</v>
      </c>
      <c r="K40" s="10"/>
      <c r="L40" s="19">
        <v>0.02</v>
      </c>
      <c r="M40" s="19"/>
      <c r="N40" s="10">
        <f t="shared" si="25"/>
        <v>3.1818181818181817</v>
      </c>
      <c r="O40" s="19">
        <f t="shared" si="7"/>
        <v>57.786060453342344</v>
      </c>
      <c r="P40" s="19"/>
      <c r="Q40" s="10">
        <v>22</v>
      </c>
      <c r="R40" s="20">
        <v>-2.5</v>
      </c>
      <c r="S40" s="21">
        <f>DEGREES(ASIN(R40/H40))</f>
        <v>-2.0467130976725789</v>
      </c>
      <c r="T40" s="19">
        <f>$D$28*L40*$D$29</f>
        <v>112.81500000000001</v>
      </c>
      <c r="U40" s="19"/>
      <c r="V40" s="19"/>
      <c r="W40" s="10">
        <f>0.5*$D$22*$D$23*$D$30*(Q40*Q40)</f>
        <v>183.18431999999999</v>
      </c>
      <c r="X40" s="10"/>
      <c r="Y40" s="20">
        <f>$D$28*$D$29*SIN(S40)</f>
        <v>-5013.910788786101</v>
      </c>
      <c r="Z40" s="19"/>
      <c r="AA40" s="19"/>
      <c r="AB40" s="21">
        <f>Y40+W40+T40</f>
        <v>-4717.9114687861011</v>
      </c>
      <c r="AC40" s="22"/>
      <c r="AD40" s="22"/>
      <c r="AE40" s="20">
        <f>AB40*Q40</f>
        <v>-103794.05231329422</v>
      </c>
      <c r="AF40" s="19"/>
      <c r="AG40" s="19"/>
      <c r="AH40" s="21">
        <f>38777-AE40</f>
        <v>142571.0523132942</v>
      </c>
      <c r="AI40" s="10"/>
      <c r="AJ40" s="10"/>
      <c r="AK40" s="10"/>
      <c r="AL40" s="19">
        <f t="shared" si="19"/>
        <v>2.2000000000000002</v>
      </c>
      <c r="AM40" s="19"/>
      <c r="AN40" s="19"/>
      <c r="AO40" s="21">
        <f t="shared" si="8"/>
        <v>-32620.987869892469</v>
      </c>
      <c r="AP40" s="10"/>
      <c r="AQ40" s="10"/>
      <c r="AR40" s="10"/>
      <c r="AS40" s="19">
        <v>38777</v>
      </c>
      <c r="AT40" s="4"/>
      <c r="AU40" s="10">
        <v>29.056799999999999</v>
      </c>
      <c r="AV40" s="6"/>
      <c r="AW40" s="19">
        <v>6000</v>
      </c>
      <c r="AX40" s="10">
        <f t="shared" si="9"/>
        <v>12000</v>
      </c>
      <c r="AY40" s="19">
        <f t="shared" si="10"/>
        <v>3.2480000000000002</v>
      </c>
      <c r="AZ40" s="10">
        <f t="shared" si="11"/>
        <v>3.9788000000000006</v>
      </c>
      <c r="BA40" s="19">
        <f t="shared" si="12"/>
        <v>0.34598260869565223</v>
      </c>
      <c r="BB40" s="39">
        <f t="shared" si="13"/>
        <v>5.7663768115942034E-3</v>
      </c>
      <c r="BC40" s="19">
        <f t="shared" si="14"/>
        <v>5.7663768115942036</v>
      </c>
      <c r="BD40" s="10">
        <f t="shared" si="15"/>
        <v>20758.956521739132</v>
      </c>
      <c r="BE40" s="19">
        <f t="shared" si="16"/>
        <v>535.34155183946496</v>
      </c>
      <c r="BF40" s="36"/>
    </row>
    <row r="41" spans="1:58" ht="15.75" x14ac:dyDescent="0.25">
      <c r="A41" s="4"/>
      <c r="B41" s="4"/>
      <c r="C41" s="4"/>
      <c r="D41" s="4"/>
      <c r="E41" s="4"/>
      <c r="F41" s="4"/>
      <c r="G41" s="4"/>
      <c r="H41" s="4"/>
      <c r="I41" s="17"/>
      <c r="J41" s="4"/>
      <c r="K41" s="4"/>
      <c r="L41" s="4"/>
      <c r="M41" s="4"/>
      <c r="N41" s="4"/>
      <c r="O41" s="4"/>
      <c r="P41" s="4"/>
      <c r="Q41" s="4"/>
      <c r="R41" s="23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24"/>
      <c r="AI41" s="4"/>
      <c r="AJ41" s="4"/>
      <c r="AK41" s="4"/>
      <c r="AL41" s="4"/>
      <c r="AM41" s="4"/>
      <c r="AN41" s="4"/>
      <c r="AO41" s="25"/>
      <c r="AP41" s="4"/>
      <c r="AQ41" s="4"/>
      <c r="AR41" s="4"/>
      <c r="AS41" s="4"/>
      <c r="AT41" s="4"/>
      <c r="AU41" s="4"/>
      <c r="AV41" s="4"/>
      <c r="AW41" s="4"/>
      <c r="AX41" s="19"/>
      <c r="AY41" s="19"/>
      <c r="AZ41" s="4"/>
      <c r="BA41" s="4"/>
      <c r="BB41" s="4"/>
      <c r="BC41" s="4"/>
      <c r="BD41" s="4"/>
      <c r="BE41" s="38"/>
      <c r="BF41" s="36"/>
    </row>
    <row r="42" spans="1:58" x14ac:dyDescent="0.25">
      <c r="A42" s="6"/>
      <c r="B42" s="6"/>
      <c r="C42" s="6"/>
      <c r="D42" s="6"/>
      <c r="E42" s="6"/>
      <c r="F42" s="6"/>
      <c r="G42" s="6"/>
      <c r="H42" s="6"/>
      <c r="I42" s="18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</row>
    <row r="43" spans="1:58" x14ac:dyDescent="0.25">
      <c r="I43" s="26"/>
    </row>
    <row r="44" spans="1:58" x14ac:dyDescent="0.25">
      <c r="I44" s="26"/>
    </row>
    <row r="45" spans="1:58" x14ac:dyDescent="0.25">
      <c r="I45" s="26"/>
    </row>
    <row r="46" spans="1:58" x14ac:dyDescent="0.25">
      <c r="I46" s="26"/>
    </row>
    <row r="47" spans="1:58" x14ac:dyDescent="0.25">
      <c r="I47" s="26"/>
    </row>
    <row r="64" spans="1:23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87" spans="1:23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110" spans="1:23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33" spans="1:23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56" spans="1:23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79" spans="1:23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201" spans="1:23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</row>
    <row r="202" spans="1:23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25" spans="1:23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48" spans="1:23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71" spans="1:23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94" spans="1:23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846FD740-6AA8-401A-B375-97EE4AEBB692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AD1D1AC-68F4-4CF8-A269-38B37023AA91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Sheet1!_Toc25931223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Yousouf Boukra (1700055)</dc:creator>
  <cp:lastModifiedBy>Yousouf Boukra (1700055)</cp:lastModifiedBy>
  <dcterms:created xsi:type="dcterms:W3CDTF">2019-11-26T18:54:17Z</dcterms:created>
  <dcterms:modified xsi:type="dcterms:W3CDTF">2019-11-29T14:59:43Z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